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FORNITURE\Programmazione 2022\"/>
    </mc:Choice>
  </mc:AlternateContent>
  <bookViews>
    <workbookView xWindow="0" yWindow="0" windowWidth="28800" windowHeight="12000"/>
  </bookViews>
  <sheets>
    <sheet name="2022" sheetId="1" r:id="rId1"/>
    <sheet name="Foglio3" sheetId="3" r:id="rId2"/>
  </sheets>
  <definedNames>
    <definedName name="_xlnm._FilterDatabase" localSheetId="0" hidden="1">'2022'!$A$1:$AF$122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98" i="1" l="1"/>
  <c r="Z95" i="1"/>
  <c r="Z96" i="1"/>
  <c r="Z97" i="1"/>
  <c r="AA99" i="1"/>
  <c r="Z99" i="1"/>
  <c r="AA100" i="1"/>
  <c r="Z100" i="1"/>
  <c r="AA101" i="1"/>
  <c r="Z101" i="1"/>
  <c r="AA102" i="1"/>
  <c r="Z102" i="1"/>
  <c r="AA103" i="1"/>
  <c r="Z103" i="1"/>
  <c r="AA104" i="1"/>
  <c r="Z104" i="1"/>
  <c r="AA105" i="1"/>
  <c r="Z105" i="1"/>
  <c r="AA106" i="1"/>
  <c r="Z106" i="1"/>
  <c r="AA107" i="1"/>
  <c r="AA108" i="1"/>
  <c r="AA109" i="1"/>
  <c r="AA111" i="1"/>
  <c r="Z111" i="1"/>
  <c r="Z112" i="1"/>
  <c r="AA113" i="1"/>
  <c r="Z113" i="1"/>
  <c r="AA117" i="1"/>
  <c r="AA116" i="1"/>
  <c r="AA115" i="1"/>
  <c r="AA114" i="1"/>
  <c r="Z118" i="1"/>
  <c r="Z119" i="1"/>
  <c r="Z120" i="1"/>
  <c r="Z121" i="1"/>
  <c r="AA92" i="1"/>
  <c r="Z92" i="1"/>
  <c r="AA94" i="1"/>
  <c r="Z94" i="1"/>
  <c r="Z93" i="1"/>
  <c r="AA91" i="1"/>
  <c r="Z91" i="1"/>
  <c r="AA90" i="1"/>
  <c r="Z90" i="1"/>
  <c r="AA89" i="1"/>
  <c r="Z89" i="1"/>
  <c r="AA88" i="1"/>
  <c r="AA87" i="1"/>
  <c r="AA86" i="1"/>
  <c r="Z86" i="1"/>
  <c r="AA85" i="1"/>
  <c r="AA83" i="1"/>
  <c r="Z83" i="1"/>
  <c r="AA82" i="1"/>
  <c r="Z82" i="1"/>
  <c r="AA84" i="1"/>
  <c r="AA81" i="1"/>
  <c r="Z81" i="1"/>
  <c r="AA80" i="1"/>
  <c r="Z79" i="1"/>
  <c r="AA79" i="1"/>
  <c r="AA78" i="1"/>
  <c r="Z78" i="1"/>
  <c r="AA77" i="1"/>
  <c r="Z77" i="1"/>
  <c r="AA76" i="1"/>
  <c r="Z76" i="1"/>
  <c r="AA75" i="1"/>
  <c r="AA74" i="1"/>
  <c r="Z74" i="1"/>
  <c r="AA73" i="1"/>
  <c r="Z73" i="1"/>
  <c r="AA72" i="1"/>
  <c r="Z72" i="1"/>
  <c r="AA71" i="1"/>
  <c r="AA70" i="1"/>
  <c r="Z70" i="1"/>
  <c r="AA68" i="1"/>
  <c r="AA67" i="1"/>
  <c r="AA69" i="1"/>
  <c r="Z69" i="1"/>
  <c r="AA66" i="1"/>
  <c r="Z66" i="1"/>
  <c r="AA65" i="1"/>
  <c r="Z65" i="1"/>
  <c r="AA62" i="1"/>
  <c r="Z62" i="1"/>
  <c r="AA61" i="1"/>
  <c r="Z61" i="1"/>
  <c r="AA60" i="1"/>
  <c r="Z60" i="1"/>
  <c r="AA59" i="1"/>
  <c r="AA58" i="1"/>
  <c r="Z58" i="1"/>
  <c r="AA57" i="1"/>
  <c r="Z57" i="1"/>
  <c r="AA56" i="1"/>
  <c r="Z56" i="1"/>
  <c r="AA55" i="1"/>
  <c r="AA54" i="1"/>
  <c r="AA53" i="1"/>
  <c r="AA52" i="1"/>
  <c r="Z52" i="1"/>
  <c r="AA49" i="1"/>
  <c r="AA50" i="1"/>
  <c r="AA51" i="1"/>
  <c r="AA48" i="1"/>
  <c r="AA47" i="1"/>
  <c r="Z47" i="1"/>
  <c r="AA46" i="1"/>
  <c r="Z46" i="1"/>
  <c r="AA45" i="1"/>
  <c r="Z45" i="1"/>
  <c r="AA44" i="1"/>
  <c r="Z44" i="1"/>
  <c r="AA43" i="1"/>
  <c r="AA42" i="1"/>
  <c r="AA41" i="1"/>
  <c r="Z41" i="1"/>
  <c r="AA40" i="1"/>
  <c r="Z40" i="1"/>
  <c r="AA39" i="1"/>
  <c r="Z39" i="1"/>
  <c r="Z38" i="1"/>
  <c r="AA38" i="1"/>
  <c r="AA37" i="1"/>
  <c r="Z37" i="1"/>
  <c r="AA36" i="1"/>
  <c r="Z36" i="1"/>
  <c r="AA35" i="1"/>
  <c r="AA34" i="1"/>
  <c r="AA33" i="1"/>
  <c r="Z33" i="1"/>
  <c r="Z32" i="1"/>
  <c r="AA31" i="1"/>
  <c r="Z31" i="1"/>
  <c r="AA30" i="1"/>
  <c r="Z29" i="1"/>
  <c r="AA29" i="1"/>
  <c r="AA28" i="1"/>
  <c r="Z28" i="1"/>
  <c r="AA26" i="1" l="1"/>
  <c r="Z26" i="1"/>
  <c r="AA25" i="1"/>
  <c r="Z25" i="1"/>
  <c r="AA24" i="1"/>
  <c r="AB24" i="1" s="1"/>
  <c r="AA23" i="1"/>
  <c r="Z22" i="1"/>
  <c r="AA22" i="1"/>
  <c r="AB22" i="1" s="1"/>
  <c r="AA21" i="1"/>
  <c r="Z21" i="1"/>
  <c r="AA20" i="1"/>
  <c r="AB20" i="1" s="1"/>
  <c r="Z19" i="1"/>
  <c r="AB19" i="1" s="1"/>
  <c r="AA18" i="1"/>
  <c r="Z18" i="1"/>
  <c r="AA17" i="1"/>
  <c r="AB17" i="1" s="1"/>
  <c r="AA16" i="1"/>
  <c r="AB16" i="1" s="1"/>
  <c r="AA15" i="1"/>
  <c r="AB15" i="1" s="1"/>
  <c r="AA14" i="1"/>
  <c r="AB14" i="1" s="1"/>
  <c r="AA13" i="1"/>
  <c r="AB13" i="1" s="1"/>
  <c r="AA12" i="1"/>
  <c r="AB12" i="1" s="1"/>
  <c r="Z12" i="1"/>
  <c r="AA11" i="1"/>
  <c r="Z11" i="1"/>
  <c r="AA10" i="1"/>
  <c r="AB10" i="1" s="1"/>
  <c r="AA9" i="1"/>
  <c r="Z9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A8" i="1"/>
  <c r="AB8" i="1" s="1"/>
  <c r="Z7" i="1"/>
  <c r="AA7" i="1"/>
  <c r="AA6" i="1"/>
  <c r="Z6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6" i="1"/>
  <c r="AC7" i="1"/>
  <c r="AC8" i="1"/>
  <c r="AC9" i="1"/>
  <c r="AC5" i="1"/>
  <c r="Z5" i="1"/>
  <c r="AC4" i="1"/>
  <c r="Z4" i="1"/>
  <c r="AC3" i="1"/>
  <c r="AC2" i="1"/>
  <c r="Z3" i="1"/>
  <c r="AA3" i="1"/>
  <c r="Z2" i="1"/>
  <c r="AA2" i="1"/>
  <c r="AB25" i="1" l="1"/>
  <c r="AB2" i="1"/>
  <c r="AB26" i="1"/>
  <c r="AB23" i="1"/>
  <c r="AB3" i="1"/>
  <c r="AA5" i="1"/>
  <c r="AB18" i="1"/>
  <c r="AB21" i="1"/>
  <c r="AB11" i="1"/>
  <c r="AB9" i="1"/>
</calcChain>
</file>

<file path=xl/sharedStrings.xml><?xml version="1.0" encoding="utf-8"?>
<sst xmlns="http://schemas.openxmlformats.org/spreadsheetml/2006/main" count="1742" uniqueCount="308">
  <si>
    <t>Denominazione Amministrazione</t>
  </si>
  <si>
    <t xml:space="preserve">Codice Fiscale Amministrazione </t>
  </si>
  <si>
    <t>CIG</t>
  </si>
  <si>
    <t>CIG MASTER</t>
  </si>
  <si>
    <t>Progressivo Lotto</t>
  </si>
  <si>
    <t>Codice CUP</t>
  </si>
  <si>
    <t xml:space="preserve">Importo stimato lotto  </t>
  </si>
  <si>
    <t>Ambito geografico di esecuzione dell'Acquisto - nomenclatura delle unità territoriali statistiche dell'Italia (NUTS:IT)</t>
  </si>
  <si>
    <t>Codice eventuale CUP master</t>
  </si>
  <si>
    <t>CPV</t>
  </si>
  <si>
    <t>DESCRIZIONE DELL'ACQUISTO</t>
  </si>
  <si>
    <t>Cognome RUP</t>
  </si>
  <si>
    <t>Nome RUP</t>
  </si>
  <si>
    <t>Codice Fiscale
RUP</t>
  </si>
  <si>
    <t>Quantità</t>
  </si>
  <si>
    <t>Unità di misura</t>
  </si>
  <si>
    <t>Durata del contratto (mesi)</t>
  </si>
  <si>
    <t>TIPOLOGIA RISORSE</t>
  </si>
  <si>
    <t>STIMA DEI COSTI DELL'ACQUISTO
Primo anno</t>
  </si>
  <si>
    <t>STIMA DEI COSTI DELL'ACQUISTO
Secondo anno</t>
  </si>
  <si>
    <t xml:space="preserve">STIMA DEI COSTI DELL'ACQUISTO
Costi su annualità successive </t>
  </si>
  <si>
    <t>STIMA DEI COSTI DELL'ACQUISTO
IVA</t>
  </si>
  <si>
    <t>Si intende delegare a Centrale di Committenza o Soggetto Aggregatore la procedura di acquisto</t>
  </si>
  <si>
    <t>CENTRALE DI COMMITTENZA O SOGGETTO AGGREGATORE AL QUALE SI INTENDE DELEGARE LA PROCEDURA DI AFFIDAMENTO 
codice AUSA</t>
  </si>
  <si>
    <t>CENTRALE DI COMMITTENZA O SOGGETTO AGGREGATORE AL QUALE SI INTENDE DELEGARE LA PROCEDURA DI AFFIDAMENTO 
Denominazione</t>
  </si>
  <si>
    <t>lotto funzionale (si/no)</t>
  </si>
  <si>
    <t>Settore (Forniture/Servizi)</t>
  </si>
  <si>
    <t>Conformità ambientale  (si/no)</t>
  </si>
  <si>
    <t>Priorità (1=max  2=med   3=min)</t>
  </si>
  <si>
    <t>L'acquisto è relativo a nuovo affidamento di contratto in essere (si/no)</t>
  </si>
  <si>
    <t>Acquedotto Pugliese S.p.A.</t>
  </si>
  <si>
    <t>00347000721</t>
  </si>
  <si>
    <t>SI</t>
  </si>
  <si>
    <t>ITF4</t>
  </si>
  <si>
    <t>38421100-3</t>
  </si>
  <si>
    <t>FLGMRC76A14A662R</t>
  </si>
  <si>
    <t>NO</t>
  </si>
  <si>
    <t>DLFGPP65E08A662Z</t>
  </si>
  <si>
    <t>BSAPPL66B11A662S </t>
  </si>
  <si>
    <t>38432000-2</t>
  </si>
  <si>
    <t>Fornitura di un sistema per analisi elementare di fanghi di depurazione</t>
  </si>
  <si>
    <t>72268000-1</t>
  </si>
  <si>
    <t>TRNLGU64S64A662N</t>
  </si>
  <si>
    <t>Pubblicazione rilievi fogna in ambiente esercizio</t>
  </si>
  <si>
    <t>SMRSFN84C02F205C</t>
  </si>
  <si>
    <t>Interventi su piattaforma SAP - contratto quadro - AMS S4 e BW4</t>
  </si>
  <si>
    <t>Rinnovo Licenze Software SALESFORCE (Social Studio &amp; Marketing Cloud)</t>
  </si>
  <si>
    <t>NTNLRT63E16A662K</t>
  </si>
  <si>
    <t>Upgrade server UCS</t>
  </si>
  <si>
    <t>MSTGLI65E62F284F</t>
  </si>
  <si>
    <t>TSLLSN75E49A662Y</t>
  </si>
  <si>
    <t>GIUSEPPE</t>
  </si>
  <si>
    <t>SGARAMELLA</t>
  </si>
  <si>
    <t>GIOVANNI</t>
  </si>
  <si>
    <t>SGRGNN71E31A662R</t>
  </si>
  <si>
    <t>MRLGNR63P01E205V</t>
  </si>
  <si>
    <t>Acquisto arredi</t>
  </si>
  <si>
    <t>SPGMRA62R30A662N</t>
  </si>
  <si>
    <t>MOTTOLA</t>
  </si>
  <si>
    <t>MARCO</t>
  </si>
  <si>
    <t>MTTMRC78H20A662O</t>
  </si>
  <si>
    <t>RMNRCC63L24I907E</t>
  </si>
  <si>
    <t>42120000-6</t>
  </si>
  <si>
    <t>DMNTNTN60H03A662I</t>
  </si>
  <si>
    <t>DNDFRZ65A31L049W</t>
  </si>
  <si>
    <t>VNDLCN68A22F839I</t>
  </si>
  <si>
    <t>NOLEGGIO A LUNGO TERMINE AUTOMEZZI OPERATIVI</t>
  </si>
  <si>
    <t>05/09/2022</t>
  </si>
  <si>
    <t>NUOVA FORNITURA CARBURANTE</t>
  </si>
  <si>
    <t>BENCHMARKING &amp; REWARD POLICY</t>
  </si>
  <si>
    <t>04/04/2022</t>
  </si>
  <si>
    <t>LEZIONI LINGUA INGLESE</t>
  </si>
  <si>
    <t>01/09/2022</t>
  </si>
  <si>
    <t>POLIZZA SANITARIA DIPENDENTI</t>
  </si>
  <si>
    <t>01/04/2022</t>
  </si>
  <si>
    <t>ATTIVITA' PALESTRA CENTRI CONVENZIONATI</t>
  </si>
  <si>
    <t>GARA D'APPALTO FORMAZIONE OBBLIGATORIA SICUREZZA SUL LAVORO</t>
  </si>
  <si>
    <t>22/11/2022</t>
  </si>
  <si>
    <t>FORMAZIONE MANAGERIALE COMPORTAMENTALE</t>
  </si>
  <si>
    <t>02/05/2022</t>
  </si>
  <si>
    <t>ACCORDO QUADRO SERVIZIO DI RICERCA E SELEZIONE</t>
  </si>
  <si>
    <t>21/11/2022</t>
  </si>
  <si>
    <t>MANUTENZIONE DEL VERDE</t>
  </si>
  <si>
    <t>30/08/2022</t>
  </si>
  <si>
    <t>Accordo quadro per l'esecuzione dei servizi di manutenzione "a chiamata in pronto intervento" a seguito di guasto su macchine ed apparecchiature installate presso gli impianti di depurazione gestiti da AQP - AED BA, AED BR, AED TA</t>
  </si>
  <si>
    <t>Accordo quadro per l'esecuzione dei servizi di manutenzione preventiva programmata e manutenzione a chiamata in pronto intervento a seguito di guasto relativamente alle apparecchiature installate sulle stazioni di campionamento automatico presso gli impianti di depurazione gestiti da aqp - STO BA/BAT, STO BR/TA, STO FG/AV, STO LE</t>
  </si>
  <si>
    <t>01/12/2022</t>
  </si>
  <si>
    <t>Accordo quadro per l'esecuz dei servizi di manutenzione "a chiamate in pronto intervento" a seguito di guasto su macchine ed apparecchiature installate presso gli impianti elevatori idrici e fognari di AQP - AET TA</t>
  </si>
  <si>
    <t>31/10/2022</t>
  </si>
  <si>
    <t>Taglio boschivo e rifunzionalizzazione degli attraversamenti delle acque pluviali, lungo il Canale Principale, da Gioia del C. a Locorotondo</t>
  </si>
  <si>
    <t>MANUTENZIONE ORDINARIA E STRAORDINARIA DEGLI IMPIANTI DI SOLLEVAMENTO MECCANICO ( GRU, CARRIPONTE)</t>
  </si>
  <si>
    <t>Manutenzione straordinaria ed ordinaria rete meteo idrologica</t>
  </si>
  <si>
    <t>30/10/2022</t>
  </si>
  <si>
    <t>P1569 servizio indagini geologiche</t>
  </si>
  <si>
    <t>P1569 servizio indagini strutturali</t>
  </si>
  <si>
    <t>Servizio di vigilanza opere VESAP – Lotto Centro-NORD e Lotto Centro-SUD: durata 4 anni</t>
  </si>
  <si>
    <t>SERVIZI</t>
  </si>
  <si>
    <t>STRAMBELLI</t>
  </si>
  <si>
    <t>ANDRISANI</t>
  </si>
  <si>
    <t>TSELIKAS</t>
  </si>
  <si>
    <t>DINI</t>
  </si>
  <si>
    <t>CASAMASSIMA</t>
  </si>
  <si>
    <t xml:space="preserve">ANTONELLA    </t>
  </si>
  <si>
    <t>ALESSANDRA</t>
  </si>
  <si>
    <t xml:space="preserve">PIERFRANCESCO  </t>
  </si>
  <si>
    <t xml:space="preserve">MARCO  </t>
  </si>
  <si>
    <t>D'AMATO</t>
  </si>
  <si>
    <t>D'ANDRIA</t>
  </si>
  <si>
    <t xml:space="preserve">GIANLUCA  </t>
  </si>
  <si>
    <t>GIANLUCA</t>
  </si>
  <si>
    <t xml:space="preserve">FABRIZIO  </t>
  </si>
  <si>
    <t xml:space="preserve">ANTONIO  </t>
  </si>
  <si>
    <t>VENTAFRIDDA</t>
  </si>
  <si>
    <t xml:space="preserve">GERARDO  </t>
  </si>
  <si>
    <t>GERARDO</t>
  </si>
  <si>
    <t>PROGETTAZIONE RISTRUTTURAZIONE E AMMODERNAMENTO LABORATORIO IP FORTORE</t>
  </si>
  <si>
    <t>RAMUNDO</t>
  </si>
  <si>
    <t xml:space="preserve">ROCCO  </t>
  </si>
  <si>
    <t>VENDITTI</t>
  </si>
  <si>
    <t xml:space="preserve">LUCIANO  </t>
  </si>
  <si>
    <t>LUCIANO</t>
  </si>
  <si>
    <t xml:space="preserve">Vuotatura e smaltimento amianto Pulsator i.p pertusilllo </t>
  </si>
  <si>
    <t>ARDITO</t>
  </si>
  <si>
    <t>NICOLA</t>
  </si>
  <si>
    <t>Manutenzione straordinaria ed ordinaria dei sistemi GPS di monitoraggio aree in frana</t>
  </si>
  <si>
    <t xml:space="preserve">Accordo Quadro Indagini Geognostiche (durata 4 anni)​ </t>
  </si>
  <si>
    <t>COSTO</t>
  </si>
  <si>
    <t>Accordo Quadro Servizio per il taglio di vegetazione delle aree pertinenti ed adiacenti gli Acquedotti di adduzione primaria, per la prevenzione periodica antincendio  – Lotto Centro-NORD e Lotto Centro-SUD: durata  4 anni</t>
  </si>
  <si>
    <t xml:space="preserve">Accordo Quadro Servizio per il taglio di vegetazione delle aree pertinenti ed adiacenti gli Acquedotti di adduzione primaria, quale azione di contrasto alla Xylella fastidiosa nella Regione Puglia – Lotto Centro-NORD e Lotto Centro-SUD: durata 2 anni </t>
  </si>
  <si>
    <t>MASTRODONATO</t>
  </si>
  <si>
    <t>GIULIA</t>
  </si>
  <si>
    <t>STRNNL68H69A662U</t>
  </si>
  <si>
    <t>COSTO/INVESTIMENTO</t>
  </si>
  <si>
    <t>INVESTIMENTO</t>
  </si>
  <si>
    <t>DNIPFR73L15A662S</t>
  </si>
  <si>
    <t>VNTGRD66S27A893L</t>
  </si>
  <si>
    <t>Sviluppo APP WEB e SOL e allineamento sistemi</t>
  </si>
  <si>
    <t>Evolutive SIT-Mobile</t>
  </si>
  <si>
    <t>Rilievi ed Implementazione in 3d</t>
  </si>
  <si>
    <t>Integrazione SIT - SAP HANA per i processi di campo (PM) e attivazione modulo per gestione processo di depurazione (EHS)</t>
  </si>
  <si>
    <t>Raccolta dati da campo</t>
  </si>
  <si>
    <t>Manutenzione SAP 2022</t>
  </si>
  <si>
    <t>Sviluppi SAP Pago PA</t>
  </si>
  <si>
    <t>Doxee - Canone manut. licenze e manutezione evolutiva</t>
  </si>
  <si>
    <t>Manutenzione Geocall 2022-2023 (licenze, Help Desk II° liv., PEV)</t>
  </si>
  <si>
    <t>Manutenzione AQPTech 2022-2024 (licenze, Help Desk II° liv., PEV) + Manut. AQPGinv 2022</t>
  </si>
  <si>
    <t>Canone 2022 archiviazione sost, posta elet. W-Enterprise, servizio ASP gestione protocollo</t>
  </si>
  <si>
    <t>Canone connettori Alfresco-SAP</t>
  </si>
  <si>
    <t>Wave 2  e Wave 3- Implementazione</t>
  </si>
  <si>
    <t>Interventi informatici per progetto smart metering</t>
  </si>
  <si>
    <t>Implementazione Board/SAP - Procurement (data catalogue, spend analisys)</t>
  </si>
  <si>
    <t>Simpledo - iGLE + Legal Inventory</t>
  </si>
  <si>
    <t>Piattaforma Zucchetti in subscription (01.06.2022-31.12.2025)</t>
  </si>
  <si>
    <t>Upgrade storage EMC</t>
  </si>
  <si>
    <t>Upgrade appliance Nexus</t>
  </si>
  <si>
    <t>Upgrade server HPE (SAP HANA)</t>
  </si>
  <si>
    <t>Consip LAN 7</t>
  </si>
  <si>
    <t>Acquisto PC</t>
  </si>
  <si>
    <t>Apparati Fortinet</t>
  </si>
  <si>
    <t>Upgrade storage HITACHI</t>
  </si>
  <si>
    <t>Locazione Multifunzioni - Consip</t>
  </si>
  <si>
    <t>Licenze Microsoft - Consip</t>
  </si>
  <si>
    <t>Licenze Trendmicro</t>
  </si>
  <si>
    <t>Cyber - VA/PT - Consip</t>
  </si>
  <si>
    <t>SMS GW 2.0 - Consip</t>
  </si>
  <si>
    <t>Sviluppi CC IFM</t>
  </si>
  <si>
    <t>Manutenz Oracle hardware</t>
  </si>
  <si>
    <t>Manutenz Cisco</t>
  </si>
  <si>
    <t>Manutenz Oracle software</t>
  </si>
  <si>
    <t>AMS VOIP - Consip</t>
  </si>
  <si>
    <t>AMS Service Desk</t>
  </si>
  <si>
    <t>GDPR su HANA</t>
  </si>
  <si>
    <t>Licenze Webex in cloud</t>
  </si>
  <si>
    <t>Disaster Recovery - Consip</t>
  </si>
  <si>
    <t>Oracle cloud</t>
  </si>
  <si>
    <t>Fonia Fissa - Consip</t>
  </si>
  <si>
    <t>Fonia Mobile - Consip</t>
  </si>
  <si>
    <t>Rete Dati - Consip</t>
  </si>
  <si>
    <t>FORNITURA DI CONTATORI SMART</t>
  </si>
  <si>
    <t>FORNITURA DI RUBINETTI A SFERA CON FUNZIONI DI RITEGNO DA ¾</t>
  </si>
  <si>
    <t>GESTIONE PIATTAFORME SOSTENIBILITA'</t>
  </si>
  <si>
    <t>CONSULENZA E CREAZIONE START UP PER FIGLI DIPENDENTI</t>
  </si>
  <si>
    <t>GESTIONE ATTIVITA' WELFARE SU APP AQP SMART</t>
  </si>
  <si>
    <t>Fornitura nuovi quadri di monitoraggio e automazione per isi e serbatoi di carico</t>
  </si>
  <si>
    <t>Fornitura nuovi quadri di monitoraggio per Ambito 15 Calitri</t>
  </si>
  <si>
    <t>Fornitura di elettropompe per acque cariche</t>
  </si>
  <si>
    <t>Gara HW/SW prodotti Siemens</t>
  </si>
  <si>
    <t>Manutenzione Siemens</t>
  </si>
  <si>
    <t>Accordo quadro servizi Siemens</t>
  </si>
  <si>
    <t>FORNITURA DI GRUPPI DI DOSAGGIO PER REATTIVI CHIMICI E RELATIVI RICAMBI A SERVIZIO DEI POZZI DELLE PROVINCIE DI TA, BT, FG, BR E BARI – IDONEI PER IPOCLORITO DI SODIO AL 12% -</t>
  </si>
  <si>
    <t>Fornitura e posa in opera di due stazioni di clorazione, proporzionali ed automatiche, per il trattamento di disinfezione dell’acqua in uscita dal serbatoio del San Paolo a Salice Salentino (LE) coordinate 40.363009, 17.806368 e dell’acqua in uscita dal nuovo serbatoio di Galugnano in agro di Sternatia (LE) - coordinate 40.25067, 18.23035</t>
  </si>
  <si>
    <t>Adeguamento sistema di disinfezione dell'impianto sussidiario di Cocumella . Sensori e controllo da remoto per automatizzazione dosaggio di disinfettante</t>
  </si>
  <si>
    <t>Fornitura di valvola a fuso del dn 1600, in sostituzione dell'esistente installata sulla partenza per la condotta dell'Ofanto del vettore Sele Calore, presso il Nodo idraulico di Venosa</t>
  </si>
  <si>
    <t>Acquisto Guanti</t>
  </si>
  <si>
    <t>Acquisto reattivi e materiale per Test di Tossicità</t>
  </si>
  <si>
    <t>Acquisto Materiale per Cromatografia Ionica</t>
  </si>
  <si>
    <t>Acquisto Standard chimici</t>
  </si>
  <si>
    <t>Kit analisi Reflui</t>
  </si>
  <si>
    <t>Fornitura tubazioni in ghisa sferoidale e pezzi speciali DN 450</t>
  </si>
  <si>
    <t>Sostituzione sistema titolazione potabilità su Bari</t>
  </si>
  <si>
    <t>Sostituzione HPLC fenoli e aldeidi</t>
  </si>
  <si>
    <t>Implementazione di una piattaforma SW integrata con altri sistemi aziendali per la gestione dei dati/informazioni relative al Water Safety Plan</t>
  </si>
  <si>
    <t>Fornitura e posa in opera di sitemi di lavaggio e compattazione del grigliato</t>
  </si>
  <si>
    <t>AQ per il risanamento/attivazione cogeneratori</t>
  </si>
  <si>
    <t>AQ per il risanamento/attivazione biofiltri</t>
  </si>
  <si>
    <t>Fornitura e posa in opera sistemi di trattamento delle acque di servizio</t>
  </si>
  <si>
    <t>Fornitura di pressocloclea presso ID Orsara</t>
  </si>
  <si>
    <t>Fornitura nuovo filtro ID Trinitapoli</t>
  </si>
  <si>
    <t>FORNITURE</t>
  </si>
  <si>
    <t>TROIANO</t>
  </si>
  <si>
    <t>LUIGIA</t>
  </si>
  <si>
    <t>SEMERARO</t>
  </si>
  <si>
    <t>STEFANO</t>
  </si>
  <si>
    <t>ANTONACCI</t>
  </si>
  <si>
    <t>ALBERTO</t>
  </si>
  <si>
    <t>Licenze REDHAT - Consip</t>
  </si>
  <si>
    <t>FALAGARIO</t>
  </si>
  <si>
    <t>D'ALFINO</t>
  </si>
  <si>
    <t>ANTONELLA</t>
  </si>
  <si>
    <t>AFFIDAMENTO EVENTI PER PERSONALE AQP E FAMIGLIARI</t>
  </si>
  <si>
    <t>AFFIDAMENTO ATTIVITA' START UP FIGLI DIPENDENTI</t>
  </si>
  <si>
    <t>MIRELLI</t>
  </si>
  <si>
    <t>GENNARO</t>
  </si>
  <si>
    <t>SPAGNOLETTA</t>
  </si>
  <si>
    <t>MAURO</t>
  </si>
  <si>
    <t>PALAZZO</t>
  </si>
  <si>
    <t>MICHELE</t>
  </si>
  <si>
    <t xml:space="preserve">Fornitura sodio silicato </t>
  </si>
  <si>
    <t>FABRIZIO</t>
  </si>
  <si>
    <t xml:space="preserve">Fornitura di tranquillizzatori Pulsator i.p.  pertusillo </t>
  </si>
  <si>
    <t xml:space="preserve"> FORNITURA E INSTALLAZIONE DI UN IMPIANTO DI CONFEZIONAMENTO AUTOMATICO PER ACQUA POTABILE IN BUSTE DI POLIETILENE (ALIMENTARE) DA 5 LITRI</t>
  </si>
  <si>
    <t>FORNITURA IN OPERA PESA</t>
  </si>
  <si>
    <t>ROCCO</t>
  </si>
  <si>
    <t>Fornitura e posa sabbia filtrazionei.p. pertusilllo</t>
  </si>
  <si>
    <t xml:space="preserve">FORNITURA CARBONI ATTIVI IP LOCONE E FORTORE </t>
  </si>
  <si>
    <t xml:space="preserve">Fornitura in opera di strumenti di misura della portata del Fiume Sele per concessione piccola derivazione Sorgente Sanità </t>
  </si>
  <si>
    <t>ABIS</t>
  </si>
  <si>
    <t>Fornitura griglie presso ID Foggia</t>
  </si>
  <si>
    <t>Fornitura Griglia presso ID Cerignola</t>
  </si>
  <si>
    <t>Fornitura di Griglie presso IIDDdi Chieuti, Mottomontecorvino,Pietramontecorvino, Carpino</t>
  </si>
  <si>
    <t>Fornitura di compressore presso ID Manfredonia</t>
  </si>
  <si>
    <t>Fornitura di compressori presso IIIDD Ortanova, Carapelle</t>
  </si>
  <si>
    <t>Fornitura di compressori presso IIIDD Lesina, Cagnano Varano, Celenza Valfortore, Castelnuovo della Daunia, Lucera A</t>
  </si>
  <si>
    <t>CSMGLC73D10A225Y</t>
  </si>
  <si>
    <t>CARABELLESE</t>
  </si>
  <si>
    <t xml:space="preserve">PIERPAOLO </t>
  </si>
  <si>
    <t>30163100-0</t>
  </si>
  <si>
    <t xml:space="preserve">45500000-2 </t>
  </si>
  <si>
    <t>80580000-3</t>
  </si>
  <si>
    <t>66510000-8</t>
  </si>
  <si>
    <t>92000000-1</t>
  </si>
  <si>
    <t>80550000-4</t>
  </si>
  <si>
    <t>80511000-9</t>
  </si>
  <si>
    <t>79611000-0</t>
  </si>
  <si>
    <t>77311000-3</t>
  </si>
  <si>
    <t>45259000-7</t>
  </si>
  <si>
    <t>98341140-8</t>
  </si>
  <si>
    <t>SIMONE</t>
  </si>
  <si>
    <t>FRESA</t>
  </si>
  <si>
    <t>FRANCESCA</t>
  </si>
  <si>
    <t>PLZMHL62E27F280L</t>
  </si>
  <si>
    <t>FRSFNC74M62E506V</t>
  </si>
  <si>
    <t>45262660-5</t>
  </si>
  <si>
    <t>50232200-2</t>
  </si>
  <si>
    <t>71351000-3</t>
  </si>
  <si>
    <t>39150000-8</t>
  </si>
  <si>
    <t>38000000-5 </t>
  </si>
  <si>
    <t>30200000-1</t>
  </si>
  <si>
    <t>64215000-6</t>
  </si>
  <si>
    <t> 42130000-9</t>
  </si>
  <si>
    <t>72320000-4</t>
  </si>
  <si>
    <t>30211300-4</t>
  </si>
  <si>
    <t>44316300-1</t>
  </si>
  <si>
    <t>32573000-0</t>
  </si>
  <si>
    <t>33191000-5</t>
  </si>
  <si>
    <t>38420000-5</t>
  </si>
  <si>
    <t>33185200-2</t>
  </si>
  <si>
    <t>24300000-7</t>
  </si>
  <si>
    <t>42131280-2</t>
  </si>
  <si>
    <t>45221117-5</t>
  </si>
  <si>
    <t>24954000-6</t>
  </si>
  <si>
    <t>42996500-9</t>
  </si>
  <si>
    <t>44162000-3</t>
  </si>
  <si>
    <t>90400000-1</t>
  </si>
  <si>
    <t>72230000-6</t>
  </si>
  <si>
    <t>42912330-4</t>
  </si>
  <si>
    <t>TSLNCL73D26A662F</t>
  </si>
  <si>
    <t>PPAFNC86L02A669S</t>
  </si>
  <si>
    <t>PAPEO</t>
  </si>
  <si>
    <t>FRANCESCO</t>
  </si>
  <si>
    <r>
      <t xml:space="preserve">Codice Unico Intervento - CUI
</t>
    </r>
    <r>
      <rPr>
        <b/>
        <i/>
        <sz val="8"/>
        <color theme="0"/>
        <rFont val="Arial"/>
        <family val="2"/>
      </rPr>
      <t>(se già noto)</t>
    </r>
  </si>
  <si>
    <t xml:space="preserve">Fornitura e posa Valvole wafer DN 300 i.p. pertusillo </t>
  </si>
  <si>
    <t>NDRSMN76B19A048T</t>
  </si>
  <si>
    <t>CONSIP</t>
  </si>
  <si>
    <t>25/11/2022</t>
  </si>
  <si>
    <t>01/07/2022</t>
  </si>
  <si>
    <t>01/06/2022</t>
  </si>
  <si>
    <t>01/11/2022</t>
  </si>
  <si>
    <t>24/11/2022</t>
  </si>
  <si>
    <t>16/08/2022</t>
  </si>
  <si>
    <t>01/10/2022</t>
  </si>
  <si>
    <t>22/12/2022</t>
  </si>
  <si>
    <t>30/09/2022</t>
  </si>
  <si>
    <t>31/08/2022</t>
  </si>
  <si>
    <t>30/11/2022</t>
  </si>
  <si>
    <t>15/12/2022</t>
  </si>
  <si>
    <t xml:space="preserve">85312320-8 </t>
  </si>
  <si>
    <t>data inzio validità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</si>
</sst>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#,##0;\-#,###,##0"/>
    <numFmt numFmtId="171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1"/>
      <color rgb="FF4D5156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u/>
      <sz val="10"/>
      <color theme="0"/>
      <name val="Arial"/>
      <family val="2"/>
    </font>
    <font>
      <sz val="11"/>
      <color rgb="FF272727"/>
      <name val="Calibri"/>
      <family val="2"/>
    </font>
    <font>
      <sz val="8.25"/>
      <color rgb="FF272727"/>
      <name val="Calibri"/>
      <family val="2"/>
      <scheme val="minor"/>
    </font>
    <font>
      <sz val="11"/>
      <color rgb="FF272727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color theme="0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49" fontId="1" fillId="0" borderId="0" xfId="0" applyNumberFormat="1" applyFont="1" applyFill="1" applyAlignment="1">
      <alignment wrapText="1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4" fontId="7" fillId="0" borderId="3" xfId="1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44" fontId="11" fillId="0" borderId="1" xfId="1" applyFont="1" applyFill="1" applyBorder="1" applyAlignment="1">
      <alignment horizontal="right" vertical="center"/>
    </xf>
    <xf numFmtId="164" fontId="11" fillId="0" borderId="1" xfId="2" applyNumberFormat="1" applyFont="1" applyFill="1" applyBorder="1" applyAlignment="1">
      <alignment horizontal="right" vertical="center"/>
    </xf>
    <xf numFmtId="49" fontId="12" fillId="0" borderId="1" xfId="2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9" fontId="13" fillId="0" borderId="1" xfId="2" applyNumberFormat="1" applyFont="1" applyFill="1" applyBorder="1" applyAlignment="1">
      <alignment horizontal="left" vertical="center" wrapText="1"/>
    </xf>
    <xf numFmtId="49" fontId="13" fillId="0" borderId="2" xfId="2" applyNumberFormat="1" applyFont="1" applyFill="1" applyBorder="1" applyAlignment="1">
      <alignment horizontal="left" vertical="center" wrapText="1"/>
    </xf>
    <xf numFmtId="49" fontId="13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49" fontId="14" fillId="0" borderId="0" xfId="2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1" fontId="7" fillId="0" borderId="3" xfId="1" applyNumberFormat="1" applyFont="1" applyFill="1" applyBorder="1" applyAlignment="1" applyProtection="1">
      <alignment horizontal="center" vertical="center" wrapText="1"/>
    </xf>
    <xf numFmtId="171" fontId="0" fillId="0" borderId="0" xfId="1" applyNumberFormat="1" applyFont="1" applyFill="1" applyAlignment="1">
      <alignment vertical="center"/>
    </xf>
    <xf numFmtId="171" fontId="0" fillId="0" borderId="0" xfId="1" applyNumberFormat="1" applyFont="1" applyFill="1"/>
    <xf numFmtId="49" fontId="16" fillId="0" borderId="1" xfId="2" applyNumberFormat="1" applyFont="1" applyFill="1" applyBorder="1" applyAlignment="1">
      <alignment horizontal="center" vertical="center"/>
    </xf>
    <xf numFmtId="0" fontId="15" fillId="0" borderId="0" xfId="0" applyFont="1" applyFill="1"/>
  </cellXfs>
  <cellStyles count="4">
    <cellStyle name="Normal" xfId="2"/>
    <cellStyle name="Normale" xfId="0" builtinId="0"/>
    <cellStyle name="Normale 2" xfId="3"/>
    <cellStyle name="Valuta" xfId="1" builtinId="4"/>
  </cellStyles>
  <dxfs count="36"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71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numFmt numFmtId="171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numFmt numFmtId="171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numFmt numFmtId="171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  <border>
        <left style="thin">
          <color rgb="FFBFBFBF"/>
        </left>
      </border>
    </dxf>
    <dxf>
      <font>
        <strike val="0"/>
        <outline val="0"/>
        <shadow val="0"/>
        <u val="none"/>
        <vertAlign val="baseline"/>
        <sz val="8.25"/>
        <color rgb="FF272727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>
        <left style="thin">
          <color rgb="FFBFBFBF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72727"/>
        <name val="Calibri"/>
        <scheme val="none"/>
      </font>
      <numFmt numFmtId="164" formatCode="#,###,##0;\-#,##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rgb="FFBFBFBF"/>
        </right>
        <top/>
        <bottom style="thin">
          <color rgb="FFBFBFBF"/>
        </bottom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1:AF122" totalsRowShown="0" headerRowDxfId="35" dataDxfId="33" headerRowBorderDxfId="34" tableBorderDxfId="32">
  <autoFilter ref="A1:AF122"/>
  <tableColumns count="32">
    <tableColumn id="1" name="Denominazione Amministrazione" dataDxfId="31"/>
    <tableColumn id="2" name="Codice Fiscale Amministrazione " dataDxfId="30"/>
    <tableColumn id="3" name="CIG" dataDxfId="29"/>
    <tableColumn id="4" name="CIG MASTER" dataDxfId="28"/>
    <tableColumn id="5" name="Codice Unico Intervento - CUI_x000a_(se già noto)" dataDxfId="27"/>
    <tableColumn id="6" name="Progressivo Lotto" dataDxfId="26"/>
    <tableColumn id="7" name="Codice CUP" dataDxfId="25"/>
    <tableColumn id="8" name="lotto funzionale (si/no)" dataDxfId="24"/>
    <tableColumn id="9" name="Importo stimato lotto  " dataDxfId="23" dataCellStyle="Normal"/>
    <tableColumn id="10" name="Ambito geografico di esecuzione dell'Acquisto - nomenclatura delle unità territoriali statistiche dell'Italia (NUTS:IT)" dataDxfId="22"/>
    <tableColumn id="11" name="Codice eventuale CUP master" dataDxfId="21"/>
    <tableColumn id="12" name="Settore (Forniture/Servizi)" dataDxfId="20"/>
    <tableColumn id="13" name="CPV" dataDxfId="19"/>
    <tableColumn id="14" name="DESCRIZIONE DELL'ACQUISTO" dataDxfId="18"/>
    <tableColumn id="15" name="Conformità ambientale  (si/no)" dataDxfId="17"/>
    <tableColumn id="16" name="Priorità (1=max  2=med   3=min)" dataDxfId="16"/>
    <tableColumn id="17" name="Cognome RUP" dataDxfId="15"/>
    <tableColumn id="18" name="Nome RUP" dataDxfId="14"/>
    <tableColumn id="19" name="Codice Fiscale_x000a_RUP" dataDxfId="13"/>
    <tableColumn id="20" name="Quantità" dataDxfId="12"/>
    <tableColumn id="21" name="Unità di misura" dataDxfId="11"/>
    <tableColumn id="22" name="Durata del contratto (mesi)" dataDxfId="10"/>
    <tableColumn id="23" name="L'acquisto è relativo a nuovo affidamento di contratto in essere (si/no)" dataDxfId="9"/>
    <tableColumn id="24" name="TIPOLOGIA RISORSE" dataDxfId="8"/>
    <tableColumn id="32" name="data inzio validità" dataDxfId="0"/>
    <tableColumn id="25" name="STIMA DEI COSTI DELL'ACQUISTO_x000a__x000a_Primo anno" dataDxfId="4" dataCellStyle="Valuta">
      <calculatedColumnFormula>Tabella1[[#This Row],[Importo stimato lotto  ]]/4/4</calculatedColumnFormula>
    </tableColumn>
    <tableColumn id="26" name="STIMA DEI COSTI DELL'ACQUISTO_x000a__x000a_Secondo anno" dataDxfId="3" dataCellStyle="Valuta">
      <calculatedColumnFormula>Tabella1[[#This Row],[Importo stimato lotto  ]]/4</calculatedColumnFormula>
    </tableColumn>
    <tableColumn id="27" name="STIMA DEI COSTI DELL'ACQUISTO_x000a__x000a_Costi su annualità successive " dataDxfId="2" dataCellStyle="Valuta">
      <calculatedColumnFormula>Tabella1[[#This Row],[Importo stimato lotto  ]]-Tabella1[[#This Row],[STIMA DEI COSTI DELL''ACQUISTO
Primo anno]]-Tabella1[[#This Row],[STIMA DEI COSTI DELL''ACQUISTO
Secondo anno]]</calculatedColumnFormula>
    </tableColumn>
    <tableColumn id="28" name="STIMA DEI COSTI DELL'ACQUISTO_x000a__x000a_IVA" dataDxfId="1" dataCellStyle="Valuta">
      <calculatedColumnFormula>Tabella1[[#This Row],[Importo stimato lotto  ]]*0.2</calculatedColumnFormula>
    </tableColumn>
    <tableColumn id="29" name="Si intende delegare a Centrale di Committenza o Soggetto Aggregatore la procedura di acquisto" dataDxfId="7"/>
    <tableColumn id="30" name="CENTRALE DI COMMITTENZA O SOGGETTO AGGREGATORE AL QUALE SI INTENDE DELEGARE LA PROCEDURA DI AFFIDAMENTO _x000a_codice AUSA" dataDxfId="6"/>
    <tableColumn id="31" name="CENTRALE DI COMMITTENZA O SOGGETTO AGGREGATORE AL QUALE SI INTENDE DELEGARE LA PROCEDURA DI AFFIDAMENTO _x000a_Denominazione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tabSelected="1" workbookViewId="0">
      <selection activeCell="C8" sqref="C8"/>
    </sheetView>
  </sheetViews>
  <sheetFormatPr defaultColWidth="8.85546875" defaultRowHeight="15" x14ac:dyDescent="0.25"/>
  <cols>
    <col min="1" max="1" width="26.85546875" style="6" customWidth="1"/>
    <col min="2" max="2" width="22.7109375" style="6" customWidth="1"/>
    <col min="3" max="4" width="14.42578125" style="6" customWidth="1"/>
    <col min="5" max="5" width="20.42578125" style="6" customWidth="1"/>
    <col min="6" max="6" width="21" style="6" customWidth="1"/>
    <col min="7" max="7" width="26" style="6" customWidth="1"/>
    <col min="8" max="8" width="15.28515625" style="6" customWidth="1"/>
    <col min="9" max="9" width="17" style="7" customWidth="1"/>
    <col min="10" max="10" width="20.85546875" style="6" customWidth="1"/>
    <col min="11" max="11" width="15.7109375" style="6" customWidth="1"/>
    <col min="12" max="12" width="17.85546875" style="6" customWidth="1"/>
    <col min="13" max="13" width="22.140625" style="6" customWidth="1"/>
    <col min="14" max="14" width="38" style="6" customWidth="1"/>
    <col min="15" max="15" width="14" style="6" customWidth="1"/>
    <col min="16" max="16" width="8.85546875" style="6" customWidth="1"/>
    <col min="17" max="17" width="17.28515625" style="6" customWidth="1"/>
    <col min="18" max="18" width="18.42578125" style="6" customWidth="1"/>
    <col min="19" max="19" width="19.42578125" style="6" customWidth="1"/>
    <col min="20" max="20" width="11.42578125" style="6" customWidth="1"/>
    <col min="21" max="21" width="17.28515625" style="6" customWidth="1"/>
    <col min="22" max="22" width="15" style="8" customWidth="1"/>
    <col min="23" max="23" width="20.7109375" style="8" customWidth="1"/>
    <col min="24" max="24" width="22.28515625" style="6" customWidth="1"/>
    <col min="25" max="25" width="22.28515625" style="30" hidden="1" customWidth="1"/>
    <col min="26" max="26" width="20" style="28" customWidth="1"/>
    <col min="27" max="27" width="19.140625" style="28" customWidth="1"/>
    <col min="28" max="28" width="19.28515625" style="28" customWidth="1"/>
    <col min="29" max="29" width="17.140625" style="28" customWidth="1"/>
    <col min="30" max="30" width="22" style="6" customWidth="1"/>
    <col min="31" max="31" width="26.7109375" style="6" customWidth="1"/>
    <col min="32" max="32" width="33.42578125" style="6" customWidth="1"/>
    <col min="33" max="16384" width="8.85546875" style="6"/>
  </cols>
  <sheetData>
    <row r="1" spans="1:32" s="1" customFormat="1" ht="135" customHeight="1" x14ac:dyDescent="0.2">
      <c r="A1" s="11" t="s">
        <v>0</v>
      </c>
      <c r="B1" s="12" t="s">
        <v>1</v>
      </c>
      <c r="C1" s="12" t="s">
        <v>2</v>
      </c>
      <c r="D1" s="12" t="s">
        <v>3</v>
      </c>
      <c r="E1" s="12" t="s">
        <v>290</v>
      </c>
      <c r="F1" s="13" t="s">
        <v>4</v>
      </c>
      <c r="G1" s="11" t="s">
        <v>5</v>
      </c>
      <c r="H1" s="11" t="s">
        <v>25</v>
      </c>
      <c r="I1" s="14" t="s">
        <v>6</v>
      </c>
      <c r="J1" s="11" t="s">
        <v>7</v>
      </c>
      <c r="K1" s="11" t="s">
        <v>8</v>
      </c>
      <c r="L1" s="11" t="s">
        <v>26</v>
      </c>
      <c r="M1" s="11" t="s">
        <v>9</v>
      </c>
      <c r="N1" s="11" t="s">
        <v>10</v>
      </c>
      <c r="O1" s="11" t="s">
        <v>27</v>
      </c>
      <c r="P1" s="11" t="s">
        <v>28</v>
      </c>
      <c r="Q1" s="11" t="s">
        <v>11</v>
      </c>
      <c r="R1" s="11" t="s">
        <v>12</v>
      </c>
      <c r="S1" s="11" t="s">
        <v>13</v>
      </c>
      <c r="T1" s="11" t="s">
        <v>14</v>
      </c>
      <c r="U1" s="11" t="s">
        <v>15</v>
      </c>
      <c r="V1" s="11" t="s">
        <v>16</v>
      </c>
      <c r="W1" s="11" t="s">
        <v>29</v>
      </c>
      <c r="X1" s="11" t="s">
        <v>17</v>
      </c>
      <c r="Y1" s="11" t="s">
        <v>307</v>
      </c>
      <c r="Z1" s="26" t="s">
        <v>18</v>
      </c>
      <c r="AA1" s="26" t="s">
        <v>19</v>
      </c>
      <c r="AB1" s="26" t="s">
        <v>20</v>
      </c>
      <c r="AC1" s="26" t="s">
        <v>21</v>
      </c>
      <c r="AD1" s="15" t="s">
        <v>22</v>
      </c>
      <c r="AE1" s="15" t="s">
        <v>23</v>
      </c>
      <c r="AF1" s="15" t="s">
        <v>24</v>
      </c>
    </row>
    <row r="2" spans="1:32" s="2" customFormat="1" ht="24.95" customHeight="1" x14ac:dyDescent="0.25">
      <c r="A2" s="2" t="s">
        <v>30</v>
      </c>
      <c r="B2" s="3" t="s">
        <v>31</v>
      </c>
      <c r="H2" s="4" t="s">
        <v>32</v>
      </c>
      <c r="I2" s="16">
        <v>2293150.25</v>
      </c>
      <c r="J2" s="4" t="s">
        <v>33</v>
      </c>
      <c r="L2" s="2" t="s">
        <v>96</v>
      </c>
      <c r="M2" s="2" t="s">
        <v>247</v>
      </c>
      <c r="N2" s="18" t="s">
        <v>66</v>
      </c>
      <c r="O2" s="4" t="s">
        <v>32</v>
      </c>
      <c r="P2" s="2">
        <v>1</v>
      </c>
      <c r="Q2" s="20" t="s">
        <v>129</v>
      </c>
      <c r="R2" s="20" t="s">
        <v>130</v>
      </c>
      <c r="S2" s="23" t="s">
        <v>49</v>
      </c>
      <c r="V2" s="4">
        <v>48</v>
      </c>
      <c r="W2" s="4" t="s">
        <v>36</v>
      </c>
      <c r="X2" s="2" t="s">
        <v>126</v>
      </c>
      <c r="Y2" s="29" t="s">
        <v>67</v>
      </c>
      <c r="Z2" s="27">
        <f>Tabella1[[#This Row],[Importo stimato lotto  ]]/4/4</f>
        <v>143321.890625</v>
      </c>
      <c r="AA2" s="27">
        <f>Tabella1[[#This Row],[Importo stimato lotto  ]]/4</f>
        <v>573287.5625</v>
      </c>
      <c r="AB2" s="27">
        <f>Tabella1[[#This Row],[Importo stimato lotto  ]]-Tabella1[[#This Row],[STIMA DEI COSTI DELL''ACQUISTO
Primo anno]]-Tabella1[[#This Row],[STIMA DEI COSTI DELL''ACQUISTO
Secondo anno]]</f>
        <v>1576540.796875</v>
      </c>
      <c r="AC2" s="27">
        <f>Tabella1[[#This Row],[Importo stimato lotto  ]]*0.1</f>
        <v>229315.02500000002</v>
      </c>
      <c r="AD2" s="4" t="s">
        <v>36</v>
      </c>
    </row>
    <row r="3" spans="1:32" s="2" customFormat="1" ht="24.95" customHeight="1" x14ac:dyDescent="0.25">
      <c r="A3" s="2" t="s">
        <v>30</v>
      </c>
      <c r="B3" s="3" t="s">
        <v>31</v>
      </c>
      <c r="H3" s="4" t="s">
        <v>32</v>
      </c>
      <c r="I3" s="16">
        <v>4600000</v>
      </c>
      <c r="J3" s="4" t="s">
        <v>33</v>
      </c>
      <c r="L3" s="2" t="s">
        <v>96</v>
      </c>
      <c r="M3" s="2" t="s">
        <v>246</v>
      </c>
      <c r="N3" s="18" t="s">
        <v>68</v>
      </c>
      <c r="O3" s="4" t="s">
        <v>32</v>
      </c>
      <c r="P3" s="2">
        <v>1</v>
      </c>
      <c r="Q3" s="20" t="s">
        <v>129</v>
      </c>
      <c r="R3" s="20" t="s">
        <v>130</v>
      </c>
      <c r="S3" s="23" t="s">
        <v>49</v>
      </c>
      <c r="V3" s="4">
        <v>36</v>
      </c>
      <c r="W3" s="4" t="s">
        <v>36</v>
      </c>
      <c r="X3" s="2" t="s">
        <v>126</v>
      </c>
      <c r="Y3" s="29" t="s">
        <v>67</v>
      </c>
      <c r="Z3" s="27">
        <f>Tabella1[[#This Row],[Importo stimato lotto  ]]/3/4</f>
        <v>383333.33333333331</v>
      </c>
      <c r="AA3" s="27">
        <f>Tabella1[[#This Row],[Importo stimato lotto  ]]/3</f>
        <v>1533333.3333333333</v>
      </c>
      <c r="AB3" s="27">
        <f>Tabella1[[#This Row],[Importo stimato lotto  ]]-Tabella1[[#This Row],[STIMA DEI COSTI DELL''ACQUISTO
Primo anno]]-Tabella1[[#This Row],[STIMA DEI COSTI DELL''ACQUISTO
Secondo anno]]</f>
        <v>2683333.333333334</v>
      </c>
      <c r="AC3" s="27">
        <f>Tabella1[[#This Row],[Importo stimato lotto  ]]*0.1</f>
        <v>460000</v>
      </c>
      <c r="AD3" s="4" t="s">
        <v>36</v>
      </c>
    </row>
    <row r="4" spans="1:32" s="2" customFormat="1" ht="24.95" customHeight="1" x14ac:dyDescent="0.25">
      <c r="A4" s="2" t="s">
        <v>30</v>
      </c>
      <c r="B4" s="3" t="s">
        <v>31</v>
      </c>
      <c r="H4" s="4" t="s">
        <v>32</v>
      </c>
      <c r="I4" s="16">
        <v>46000</v>
      </c>
      <c r="J4" s="4" t="s">
        <v>33</v>
      </c>
      <c r="L4" s="2" t="s">
        <v>96</v>
      </c>
      <c r="M4" s="2" t="s">
        <v>306</v>
      </c>
      <c r="N4" s="18" t="s">
        <v>69</v>
      </c>
      <c r="O4" s="4" t="s">
        <v>32</v>
      </c>
      <c r="P4" s="2">
        <v>1</v>
      </c>
      <c r="Q4" s="20" t="s">
        <v>98</v>
      </c>
      <c r="R4" s="5" t="s">
        <v>257</v>
      </c>
      <c r="S4" s="23" t="s">
        <v>292</v>
      </c>
      <c r="V4" s="4">
        <v>3</v>
      </c>
      <c r="X4" s="2" t="s">
        <v>126</v>
      </c>
      <c r="Y4" s="29" t="s">
        <v>70</v>
      </c>
      <c r="Z4" s="27">
        <f>Tabella1[[#This Row],[Importo stimato lotto  ]]</f>
        <v>46000</v>
      </c>
      <c r="AA4" s="27">
        <v>0</v>
      </c>
      <c r="AB4" s="27">
        <v>0</v>
      </c>
      <c r="AC4" s="27">
        <f>Tabella1[[#This Row],[Importo stimato lotto  ]]*0.1</f>
        <v>4600</v>
      </c>
      <c r="AD4" s="4" t="s">
        <v>36</v>
      </c>
    </row>
    <row r="5" spans="1:32" s="2" customFormat="1" ht="24.95" customHeight="1" x14ac:dyDescent="0.25">
      <c r="A5" s="2" t="s">
        <v>30</v>
      </c>
      <c r="B5" s="3" t="s">
        <v>31</v>
      </c>
      <c r="H5" s="4" t="s">
        <v>32</v>
      </c>
      <c r="I5" s="16">
        <v>40250</v>
      </c>
      <c r="J5" s="4" t="s">
        <v>33</v>
      </c>
      <c r="L5" s="2" t="s">
        <v>96</v>
      </c>
      <c r="M5" s="2" t="s">
        <v>248</v>
      </c>
      <c r="N5" s="18" t="s">
        <v>71</v>
      </c>
      <c r="O5" s="4" t="s">
        <v>32</v>
      </c>
      <c r="P5" s="2">
        <v>1</v>
      </c>
      <c r="Q5" s="20" t="s">
        <v>97</v>
      </c>
      <c r="R5" s="20" t="s">
        <v>102</v>
      </c>
      <c r="S5" s="24" t="s">
        <v>131</v>
      </c>
      <c r="V5" s="4">
        <v>12</v>
      </c>
      <c r="W5" s="4" t="s">
        <v>36</v>
      </c>
      <c r="X5" s="2" t="s">
        <v>126</v>
      </c>
      <c r="Y5" s="29" t="s">
        <v>72</v>
      </c>
      <c r="Z5" s="27">
        <f>Tabella1[[#This Row],[Importo stimato lotto  ]]/3</f>
        <v>13416.666666666666</v>
      </c>
      <c r="AA5" s="27">
        <f>Tabella1[[#This Row],[Importo stimato lotto  ]]-Tabella1[[#This Row],[STIMA DEI COSTI DELL''ACQUISTO
Primo anno]]</f>
        <v>26833.333333333336</v>
      </c>
      <c r="AB5" s="27">
        <v>0</v>
      </c>
      <c r="AC5" s="27">
        <f>Tabella1[[#This Row],[Importo stimato lotto  ]]*0.1</f>
        <v>4025</v>
      </c>
      <c r="AD5" s="4" t="s">
        <v>36</v>
      </c>
    </row>
    <row r="6" spans="1:32" s="2" customFormat="1" ht="24.95" customHeight="1" x14ac:dyDescent="0.25">
      <c r="A6" s="2" t="s">
        <v>30</v>
      </c>
      <c r="B6" s="3" t="s">
        <v>31</v>
      </c>
      <c r="H6" s="4" t="s">
        <v>32</v>
      </c>
      <c r="I6" s="16">
        <v>115000</v>
      </c>
      <c r="J6" s="4" t="s">
        <v>33</v>
      </c>
      <c r="L6" s="2" t="s">
        <v>96</v>
      </c>
      <c r="M6" s="2" t="s">
        <v>249</v>
      </c>
      <c r="N6" s="18" t="s">
        <v>73</v>
      </c>
      <c r="O6" s="4" t="s">
        <v>32</v>
      </c>
      <c r="P6" s="2">
        <v>1</v>
      </c>
      <c r="Q6" s="20" t="s">
        <v>97</v>
      </c>
      <c r="R6" s="20" t="s">
        <v>102</v>
      </c>
      <c r="S6" s="24" t="s">
        <v>131</v>
      </c>
      <c r="V6" s="4">
        <v>12</v>
      </c>
      <c r="W6" s="4" t="s">
        <v>36</v>
      </c>
      <c r="X6" s="2" t="s">
        <v>126</v>
      </c>
      <c r="Y6" s="29" t="s">
        <v>74</v>
      </c>
      <c r="Z6" s="27">
        <f>Tabella1[[#This Row],[Importo stimato lotto  ]]*9/12</f>
        <v>86250</v>
      </c>
      <c r="AA6" s="27">
        <f>Tabella1[[#This Row],[Importo stimato lotto  ]]*3/12</f>
        <v>28750</v>
      </c>
      <c r="AB6" s="27">
        <v>0</v>
      </c>
      <c r="AC6" s="27">
        <f>Tabella1[[#This Row],[Importo stimato lotto  ]]*0.1</f>
        <v>11500</v>
      </c>
      <c r="AD6" s="4" t="s">
        <v>36</v>
      </c>
    </row>
    <row r="7" spans="1:32" s="2" customFormat="1" ht="24.95" customHeight="1" x14ac:dyDescent="0.25">
      <c r="A7" s="2" t="s">
        <v>30</v>
      </c>
      <c r="B7" s="3" t="s">
        <v>31</v>
      </c>
      <c r="H7" s="4" t="s">
        <v>32</v>
      </c>
      <c r="I7" s="16">
        <v>40250</v>
      </c>
      <c r="J7" s="4" t="s">
        <v>33</v>
      </c>
      <c r="L7" s="2" t="s">
        <v>96</v>
      </c>
      <c r="M7" s="2" t="s">
        <v>250</v>
      </c>
      <c r="N7" s="18" t="s">
        <v>75</v>
      </c>
      <c r="O7" s="4" t="s">
        <v>32</v>
      </c>
      <c r="P7" s="2">
        <v>1</v>
      </c>
      <c r="Q7" s="20" t="s">
        <v>97</v>
      </c>
      <c r="R7" s="20" t="s">
        <v>102</v>
      </c>
      <c r="S7" s="24" t="s">
        <v>131</v>
      </c>
      <c r="V7" s="4">
        <v>12</v>
      </c>
      <c r="W7" s="4" t="s">
        <v>36</v>
      </c>
      <c r="X7" s="2" t="s">
        <v>126</v>
      </c>
      <c r="Y7" s="29" t="s">
        <v>74</v>
      </c>
      <c r="Z7" s="27">
        <f>Tabella1[[#This Row],[Importo stimato lotto  ]]*9/12</f>
        <v>30187.5</v>
      </c>
      <c r="AA7" s="27">
        <f>Tabella1[[#This Row],[Importo stimato lotto  ]]*3/12</f>
        <v>10062.5</v>
      </c>
      <c r="AB7" s="27">
        <v>0</v>
      </c>
      <c r="AC7" s="27">
        <f>Tabella1[[#This Row],[Importo stimato lotto  ]]*0.1</f>
        <v>4025</v>
      </c>
      <c r="AD7" s="4" t="s">
        <v>36</v>
      </c>
    </row>
    <row r="8" spans="1:32" s="2" customFormat="1" ht="24.95" customHeight="1" x14ac:dyDescent="0.25">
      <c r="A8" s="2" t="s">
        <v>30</v>
      </c>
      <c r="B8" s="3" t="s">
        <v>31</v>
      </c>
      <c r="H8" s="4" t="s">
        <v>32</v>
      </c>
      <c r="I8" s="16">
        <v>345000</v>
      </c>
      <c r="J8" s="4" t="s">
        <v>33</v>
      </c>
      <c r="L8" s="2" t="s">
        <v>96</v>
      </c>
      <c r="M8" s="2" t="s">
        <v>251</v>
      </c>
      <c r="N8" s="18" t="s">
        <v>76</v>
      </c>
      <c r="O8" s="4" t="s">
        <v>32</v>
      </c>
      <c r="P8" s="2">
        <v>1</v>
      </c>
      <c r="Q8" s="20" t="s">
        <v>122</v>
      </c>
      <c r="R8" s="20" t="s">
        <v>123</v>
      </c>
      <c r="S8" s="24" t="s">
        <v>131</v>
      </c>
      <c r="V8" s="4">
        <v>24</v>
      </c>
      <c r="W8" s="4" t="s">
        <v>36</v>
      </c>
      <c r="X8" s="2" t="s">
        <v>126</v>
      </c>
      <c r="Y8" s="29" t="s">
        <v>77</v>
      </c>
      <c r="Z8" s="27">
        <v>0</v>
      </c>
      <c r="AA8" s="27">
        <f>Tabella1[[#This Row],[Importo stimato lotto  ]]/2</f>
        <v>172500</v>
      </c>
      <c r="AB8" s="27">
        <f>Tabella1[[#This Row],[Importo stimato lotto  ]]-Tabella1[[#This Row],[STIMA DEI COSTI DELL''ACQUISTO
Primo anno]]-Tabella1[[#This Row],[STIMA DEI COSTI DELL''ACQUISTO
Secondo anno]]</f>
        <v>172500</v>
      </c>
      <c r="AC8" s="27">
        <f>Tabella1[[#This Row],[Importo stimato lotto  ]]*0.1</f>
        <v>34500</v>
      </c>
      <c r="AD8" s="4" t="s">
        <v>36</v>
      </c>
    </row>
    <row r="9" spans="1:32" s="2" customFormat="1" ht="24.95" customHeight="1" x14ac:dyDescent="0.25">
      <c r="A9" s="2" t="s">
        <v>30</v>
      </c>
      <c r="B9" s="3" t="s">
        <v>31</v>
      </c>
      <c r="H9" s="4" t="s">
        <v>32</v>
      </c>
      <c r="I9" s="16">
        <v>115000</v>
      </c>
      <c r="J9" s="4" t="s">
        <v>33</v>
      </c>
      <c r="L9" s="2" t="s">
        <v>96</v>
      </c>
      <c r="M9" s="2" t="s">
        <v>252</v>
      </c>
      <c r="N9" s="18" t="s">
        <v>78</v>
      </c>
      <c r="O9" s="4" t="s">
        <v>32</v>
      </c>
      <c r="P9" s="2">
        <v>1</v>
      </c>
      <c r="Q9" s="20" t="s">
        <v>122</v>
      </c>
      <c r="R9" s="20" t="s">
        <v>123</v>
      </c>
      <c r="S9" s="24" t="s">
        <v>131</v>
      </c>
      <c r="V9" s="4">
        <v>12</v>
      </c>
      <c r="W9" s="4" t="s">
        <v>36</v>
      </c>
      <c r="X9" s="2" t="s">
        <v>126</v>
      </c>
      <c r="Y9" s="29" t="s">
        <v>79</v>
      </c>
      <c r="Z9" s="27">
        <f>Tabella1[[#This Row],[Importo stimato lotto  ]]/2</f>
        <v>57500</v>
      </c>
      <c r="AA9" s="27">
        <f>Tabella1[[#This Row],[Importo stimato lotto  ]]/2</f>
        <v>57500</v>
      </c>
      <c r="AB9" s="27">
        <f>Tabella1[[#This Row],[Importo stimato lotto  ]]-Tabella1[[#This Row],[STIMA DEI COSTI DELL''ACQUISTO
Primo anno]]-Tabella1[[#This Row],[STIMA DEI COSTI DELL''ACQUISTO
Secondo anno]]</f>
        <v>0</v>
      </c>
      <c r="AC9" s="27">
        <f>Tabella1[[#This Row],[Importo stimato lotto  ]]*0.1</f>
        <v>11500</v>
      </c>
      <c r="AD9" s="4" t="s">
        <v>36</v>
      </c>
    </row>
    <row r="10" spans="1:32" s="2" customFormat="1" ht="24.95" customHeight="1" x14ac:dyDescent="0.25">
      <c r="A10" s="2" t="s">
        <v>30</v>
      </c>
      <c r="B10" s="3" t="s">
        <v>31</v>
      </c>
      <c r="H10" s="4" t="s">
        <v>32</v>
      </c>
      <c r="I10" s="16">
        <v>115000</v>
      </c>
      <c r="J10" s="4" t="s">
        <v>33</v>
      </c>
      <c r="L10" s="2" t="s">
        <v>96</v>
      </c>
      <c r="M10" s="2" t="s">
        <v>253</v>
      </c>
      <c r="N10" s="18" t="s">
        <v>80</v>
      </c>
      <c r="O10" s="4" t="s">
        <v>32</v>
      </c>
      <c r="P10" s="2">
        <v>1</v>
      </c>
      <c r="Q10" s="20" t="s">
        <v>99</v>
      </c>
      <c r="R10" s="20" t="s">
        <v>103</v>
      </c>
      <c r="S10" s="23" t="s">
        <v>50</v>
      </c>
      <c r="V10" s="4">
        <v>36</v>
      </c>
      <c r="W10" s="4" t="s">
        <v>36</v>
      </c>
      <c r="X10" s="2" t="s">
        <v>126</v>
      </c>
      <c r="Y10" s="29" t="s">
        <v>81</v>
      </c>
      <c r="Z10" s="27">
        <v>0</v>
      </c>
      <c r="AA10" s="27">
        <f>Tabella1[[#This Row],[Importo stimato lotto  ]]/3</f>
        <v>38333.333333333336</v>
      </c>
      <c r="AB10" s="27">
        <f>Tabella1[[#This Row],[Importo stimato lotto  ]]-Tabella1[[#This Row],[STIMA DEI COSTI DELL''ACQUISTO
Primo anno]]-Tabella1[[#This Row],[STIMA DEI COSTI DELL''ACQUISTO
Secondo anno]]</f>
        <v>76666.666666666657</v>
      </c>
      <c r="AC10" s="27">
        <f>Tabella1[[#This Row],[Importo stimato lotto  ]]*0.1</f>
        <v>11500</v>
      </c>
      <c r="AD10" s="4" t="s">
        <v>36</v>
      </c>
    </row>
    <row r="11" spans="1:32" s="2" customFormat="1" ht="24.95" customHeight="1" x14ac:dyDescent="0.25">
      <c r="A11" s="2" t="s">
        <v>30</v>
      </c>
      <c r="B11" s="3" t="s">
        <v>31</v>
      </c>
      <c r="H11" s="4" t="s">
        <v>32</v>
      </c>
      <c r="I11" s="16">
        <v>120000</v>
      </c>
      <c r="J11" s="4" t="s">
        <v>33</v>
      </c>
      <c r="L11" s="2" t="s">
        <v>96</v>
      </c>
      <c r="M11" s="2" t="s">
        <v>254</v>
      </c>
      <c r="N11" s="18" t="s">
        <v>82</v>
      </c>
      <c r="O11" s="4" t="s">
        <v>32</v>
      </c>
      <c r="P11" s="2">
        <v>1</v>
      </c>
      <c r="Q11" s="20" t="s">
        <v>100</v>
      </c>
      <c r="R11" s="20" t="s">
        <v>104</v>
      </c>
      <c r="S11" s="23" t="s">
        <v>134</v>
      </c>
      <c r="V11" s="4">
        <v>36</v>
      </c>
      <c r="W11" s="4" t="s">
        <v>36</v>
      </c>
      <c r="X11" s="2" t="s">
        <v>126</v>
      </c>
      <c r="Y11" s="29" t="s">
        <v>83</v>
      </c>
      <c r="Z11" s="27">
        <f>Tabella1[[#This Row],[Importo stimato lotto  ]]/3/4</f>
        <v>10000</v>
      </c>
      <c r="AA11" s="27">
        <f>Tabella1[[#This Row],[Importo stimato lotto  ]]/3</f>
        <v>40000</v>
      </c>
      <c r="AB11" s="27">
        <f>Tabella1[[#This Row],[Importo stimato lotto  ]]-Tabella1[[#This Row],[STIMA DEI COSTI DELL''ACQUISTO
Primo anno]]-Tabella1[[#This Row],[STIMA DEI COSTI DELL''ACQUISTO
Secondo anno]]</f>
        <v>70000</v>
      </c>
      <c r="AC11" s="27">
        <f>Tabella1[[#This Row],[Importo stimato lotto  ]]*0.1</f>
        <v>12000</v>
      </c>
      <c r="AD11" s="4" t="s">
        <v>36</v>
      </c>
    </row>
    <row r="12" spans="1:32" s="2" customFormat="1" ht="60" customHeight="1" x14ac:dyDescent="0.25">
      <c r="A12" s="2" t="s">
        <v>30</v>
      </c>
      <c r="B12" s="3" t="s">
        <v>31</v>
      </c>
      <c r="H12" s="4" t="s">
        <v>32</v>
      </c>
      <c r="I12" s="16">
        <v>3132000</v>
      </c>
      <c r="J12" s="4" t="s">
        <v>33</v>
      </c>
      <c r="L12" s="2" t="s">
        <v>96</v>
      </c>
      <c r="M12" s="2" t="s">
        <v>255</v>
      </c>
      <c r="N12" s="18" t="s">
        <v>84</v>
      </c>
      <c r="O12" s="4" t="s">
        <v>32</v>
      </c>
      <c r="P12" s="2">
        <v>1</v>
      </c>
      <c r="Q12" s="20" t="s">
        <v>58</v>
      </c>
      <c r="R12" s="20" t="s">
        <v>105</v>
      </c>
      <c r="S12" s="23" t="s">
        <v>60</v>
      </c>
      <c r="V12" s="4">
        <v>36</v>
      </c>
      <c r="W12" s="4" t="s">
        <v>36</v>
      </c>
      <c r="X12" s="2" t="s">
        <v>132</v>
      </c>
      <c r="Y12" s="29" t="s">
        <v>72</v>
      </c>
      <c r="Z12" s="27">
        <f>Tabella1[[#This Row],[Importo stimato lotto  ]]/3/4</f>
        <v>261000</v>
      </c>
      <c r="AA12" s="27">
        <f>Tabella1[[#This Row],[Importo stimato lotto  ]]/3</f>
        <v>1044000</v>
      </c>
      <c r="AB12" s="27">
        <f>Tabella1[[#This Row],[Importo stimato lotto  ]]-Tabella1[[#This Row],[STIMA DEI COSTI DELL''ACQUISTO
Primo anno]]-Tabella1[[#This Row],[STIMA DEI COSTI DELL''ACQUISTO
Secondo anno]]</f>
        <v>1827000</v>
      </c>
      <c r="AC12" s="27">
        <f>Tabella1[[#This Row],[Importo stimato lotto  ]]*0.1</f>
        <v>313200</v>
      </c>
      <c r="AD12" s="4" t="s">
        <v>36</v>
      </c>
    </row>
    <row r="13" spans="1:32" s="2" customFormat="1" ht="99.95" customHeight="1" x14ac:dyDescent="0.25">
      <c r="A13" s="2" t="s">
        <v>30</v>
      </c>
      <c r="B13" s="3" t="s">
        <v>31</v>
      </c>
      <c r="H13" s="4" t="s">
        <v>32</v>
      </c>
      <c r="I13" s="16">
        <v>1881000</v>
      </c>
      <c r="J13" s="4" t="s">
        <v>33</v>
      </c>
      <c r="L13" s="2" t="s">
        <v>96</v>
      </c>
      <c r="M13" s="2" t="s">
        <v>255</v>
      </c>
      <c r="N13" s="18" t="s">
        <v>85</v>
      </c>
      <c r="O13" s="4" t="s">
        <v>32</v>
      </c>
      <c r="P13" s="2">
        <v>1</v>
      </c>
      <c r="Q13" s="20" t="s">
        <v>58</v>
      </c>
      <c r="R13" s="20" t="s">
        <v>105</v>
      </c>
      <c r="S13" s="23" t="s">
        <v>60</v>
      </c>
      <c r="V13" s="4">
        <v>36</v>
      </c>
      <c r="W13" s="4" t="s">
        <v>36</v>
      </c>
      <c r="X13" s="2" t="s">
        <v>132</v>
      </c>
      <c r="Y13" s="29" t="s">
        <v>86</v>
      </c>
      <c r="Z13" s="27">
        <v>0</v>
      </c>
      <c r="AA13" s="27">
        <f>Tabella1[[#This Row],[Importo stimato lotto  ]]/3</f>
        <v>627000</v>
      </c>
      <c r="AB13" s="27">
        <f>Tabella1[[#This Row],[Importo stimato lotto  ]]-Tabella1[[#This Row],[STIMA DEI COSTI DELL''ACQUISTO
Primo anno]]-Tabella1[[#This Row],[STIMA DEI COSTI DELL''ACQUISTO
Secondo anno]]</f>
        <v>1254000</v>
      </c>
      <c r="AC13" s="27">
        <f>Tabella1[[#This Row],[Importo stimato lotto  ]]*0.1</f>
        <v>188100</v>
      </c>
      <c r="AD13" s="4" t="s">
        <v>36</v>
      </c>
    </row>
    <row r="14" spans="1:32" s="2" customFormat="1" ht="60" customHeight="1" x14ac:dyDescent="0.25">
      <c r="A14" s="2" t="s">
        <v>30</v>
      </c>
      <c r="B14" s="3" t="s">
        <v>31</v>
      </c>
      <c r="H14" s="4" t="s">
        <v>32</v>
      </c>
      <c r="I14" s="16">
        <v>576000</v>
      </c>
      <c r="J14" s="4" t="s">
        <v>33</v>
      </c>
      <c r="L14" s="2" t="s">
        <v>96</v>
      </c>
      <c r="M14" s="2" t="s">
        <v>255</v>
      </c>
      <c r="N14" s="18" t="s">
        <v>87</v>
      </c>
      <c r="O14" s="4" t="s">
        <v>32</v>
      </c>
      <c r="P14" s="2">
        <v>1</v>
      </c>
      <c r="Q14" s="20" t="s">
        <v>58</v>
      </c>
      <c r="R14" s="20" t="s">
        <v>105</v>
      </c>
      <c r="S14" s="23" t="s">
        <v>60</v>
      </c>
      <c r="V14" s="4">
        <v>36</v>
      </c>
      <c r="W14" s="4" t="s">
        <v>36</v>
      </c>
      <c r="X14" s="2" t="s">
        <v>132</v>
      </c>
      <c r="Y14" s="29" t="s">
        <v>86</v>
      </c>
      <c r="Z14" s="27">
        <v>0</v>
      </c>
      <c r="AA14" s="27">
        <f>Tabella1[[#This Row],[Importo stimato lotto  ]]/3</f>
        <v>192000</v>
      </c>
      <c r="AB14" s="27">
        <f>Tabella1[[#This Row],[Importo stimato lotto  ]]-Tabella1[[#This Row],[STIMA DEI COSTI DELL''ACQUISTO
Primo anno]]-Tabella1[[#This Row],[STIMA DEI COSTI DELL''ACQUISTO
Secondo anno]]</f>
        <v>384000</v>
      </c>
      <c r="AC14" s="27">
        <f>Tabella1[[#This Row],[Importo stimato lotto  ]]*0.1</f>
        <v>57600</v>
      </c>
      <c r="AD14" s="4" t="s">
        <v>36</v>
      </c>
    </row>
    <row r="15" spans="1:32" s="2" customFormat="1" ht="60" customHeight="1" x14ac:dyDescent="0.25">
      <c r="A15" s="2" t="s">
        <v>30</v>
      </c>
      <c r="B15" s="3" t="s">
        <v>31</v>
      </c>
      <c r="H15" s="4" t="s">
        <v>32</v>
      </c>
      <c r="I15" s="16">
        <v>900000</v>
      </c>
      <c r="J15" s="4" t="s">
        <v>33</v>
      </c>
      <c r="L15" s="2" t="s">
        <v>96</v>
      </c>
      <c r="M15" s="2" t="s">
        <v>256</v>
      </c>
      <c r="N15" s="18" t="s">
        <v>95</v>
      </c>
      <c r="O15" s="4" t="s">
        <v>32</v>
      </c>
      <c r="P15" s="2">
        <v>1</v>
      </c>
      <c r="Q15" s="20" t="s">
        <v>101</v>
      </c>
      <c r="R15" s="20" t="s">
        <v>108</v>
      </c>
      <c r="S15" s="23" t="s">
        <v>243</v>
      </c>
      <c r="V15" s="4">
        <v>48</v>
      </c>
      <c r="W15" s="4" t="s">
        <v>36</v>
      </c>
      <c r="X15" s="2" t="s">
        <v>126</v>
      </c>
      <c r="Y15" s="29" t="s">
        <v>81</v>
      </c>
      <c r="Z15" s="27">
        <v>0</v>
      </c>
      <c r="AA15" s="27">
        <f>Tabella1[[#This Row],[Importo stimato lotto  ]]/4</f>
        <v>225000</v>
      </c>
      <c r="AB15" s="27">
        <f>Tabella1[[#This Row],[Importo stimato lotto  ]]-Tabella1[[#This Row],[STIMA DEI COSTI DELL''ACQUISTO
Primo anno]]-Tabella1[[#This Row],[STIMA DEI COSTI DELL''ACQUISTO
Secondo anno]]</f>
        <v>675000</v>
      </c>
      <c r="AC15" s="27">
        <f>Tabella1[[#This Row],[Importo stimato lotto  ]]*0.1</f>
        <v>90000</v>
      </c>
      <c r="AD15" s="4" t="s">
        <v>36</v>
      </c>
    </row>
    <row r="16" spans="1:32" s="2" customFormat="1" ht="60" customHeight="1" x14ac:dyDescent="0.25">
      <c r="A16" s="2" t="s">
        <v>30</v>
      </c>
      <c r="B16" s="3" t="s">
        <v>31</v>
      </c>
      <c r="H16" s="4" t="s">
        <v>32</v>
      </c>
      <c r="I16" s="16">
        <v>26000000</v>
      </c>
      <c r="J16" s="4" t="s">
        <v>33</v>
      </c>
      <c r="L16" s="2" t="s">
        <v>96</v>
      </c>
      <c r="M16" s="2" t="s">
        <v>254</v>
      </c>
      <c r="N16" s="18" t="s">
        <v>127</v>
      </c>
      <c r="O16" s="4" t="s">
        <v>32</v>
      </c>
      <c r="P16" s="2">
        <v>1</v>
      </c>
      <c r="Q16" s="20" t="s">
        <v>101</v>
      </c>
      <c r="R16" s="20" t="s">
        <v>109</v>
      </c>
      <c r="S16" s="23" t="s">
        <v>243</v>
      </c>
      <c r="V16" s="4">
        <v>48</v>
      </c>
      <c r="W16" s="4" t="s">
        <v>36</v>
      </c>
      <c r="X16" s="2" t="s">
        <v>126</v>
      </c>
      <c r="Y16" s="29" t="s">
        <v>88</v>
      </c>
      <c r="Z16" s="27">
        <v>0</v>
      </c>
      <c r="AA16" s="27">
        <f>Tabella1[[#This Row],[Importo stimato lotto  ]]/4</f>
        <v>6500000</v>
      </c>
      <c r="AB16" s="27">
        <f>Tabella1[[#This Row],[Importo stimato lotto  ]]-Tabella1[[#This Row],[STIMA DEI COSTI DELL''ACQUISTO
Primo anno]]-Tabella1[[#This Row],[STIMA DEI COSTI DELL''ACQUISTO
Secondo anno]]</f>
        <v>19500000</v>
      </c>
      <c r="AC16" s="27">
        <f>Tabella1[[#This Row],[Importo stimato lotto  ]]*0.1</f>
        <v>2600000</v>
      </c>
      <c r="AD16" s="4" t="s">
        <v>36</v>
      </c>
    </row>
    <row r="17" spans="1:30" s="2" customFormat="1" ht="80.099999999999994" customHeight="1" x14ac:dyDescent="0.25">
      <c r="A17" s="2" t="s">
        <v>30</v>
      </c>
      <c r="B17" s="3" t="s">
        <v>31</v>
      </c>
      <c r="H17" s="4" t="s">
        <v>32</v>
      </c>
      <c r="I17" s="16">
        <v>12300000</v>
      </c>
      <c r="J17" s="4" t="s">
        <v>33</v>
      </c>
      <c r="L17" s="2" t="s">
        <v>96</v>
      </c>
      <c r="M17" s="2" t="s">
        <v>254</v>
      </c>
      <c r="N17" s="18" t="s">
        <v>128</v>
      </c>
      <c r="O17" s="4" t="s">
        <v>32</v>
      </c>
      <c r="P17" s="2">
        <v>1</v>
      </c>
      <c r="Q17" s="20" t="s">
        <v>101</v>
      </c>
      <c r="R17" s="20" t="s">
        <v>109</v>
      </c>
      <c r="S17" s="23" t="s">
        <v>243</v>
      </c>
      <c r="V17" s="4">
        <v>24</v>
      </c>
      <c r="W17" s="4" t="s">
        <v>36</v>
      </c>
      <c r="X17" s="2" t="s">
        <v>133</v>
      </c>
      <c r="Y17" s="29" t="s">
        <v>88</v>
      </c>
      <c r="Z17" s="27">
        <v>0</v>
      </c>
      <c r="AA17" s="27">
        <f>Tabella1[[#This Row],[Importo stimato lotto  ]]/2</f>
        <v>6150000</v>
      </c>
      <c r="AB17" s="27">
        <f>Tabella1[[#This Row],[Importo stimato lotto  ]]-Tabella1[[#This Row],[STIMA DEI COSTI DELL''ACQUISTO
Primo anno]]-Tabella1[[#This Row],[STIMA DEI COSTI DELL''ACQUISTO
Secondo anno]]</f>
        <v>6150000</v>
      </c>
      <c r="AC17" s="27">
        <f>Tabella1[[#This Row],[Importo stimato lotto  ]]*0.1</f>
        <v>1230000</v>
      </c>
      <c r="AD17" s="4" t="s">
        <v>36</v>
      </c>
    </row>
    <row r="18" spans="1:30" s="2" customFormat="1" ht="60" customHeight="1" x14ac:dyDescent="0.25">
      <c r="A18" s="2" t="s">
        <v>30</v>
      </c>
      <c r="B18" s="3" t="s">
        <v>31</v>
      </c>
      <c r="H18" s="4" t="s">
        <v>32</v>
      </c>
      <c r="I18" s="16">
        <v>600000</v>
      </c>
      <c r="J18" s="4" t="s">
        <v>33</v>
      </c>
      <c r="L18" s="2" t="s">
        <v>96</v>
      </c>
      <c r="M18" s="2" t="s">
        <v>254</v>
      </c>
      <c r="N18" s="18" t="s">
        <v>89</v>
      </c>
      <c r="O18" s="4" t="s">
        <v>32</v>
      </c>
      <c r="P18" s="2">
        <v>1</v>
      </c>
      <c r="Q18" s="20" t="s">
        <v>101</v>
      </c>
      <c r="R18" s="20" t="s">
        <v>109</v>
      </c>
      <c r="S18" s="23" t="s">
        <v>243</v>
      </c>
      <c r="V18" s="4">
        <v>6</v>
      </c>
      <c r="W18" s="4" t="s">
        <v>36</v>
      </c>
      <c r="X18" s="2" t="s">
        <v>133</v>
      </c>
      <c r="Y18" s="29" t="s">
        <v>88</v>
      </c>
      <c r="Z18" s="27">
        <f>Tabella1[[#This Row],[Importo stimato lotto  ]]/3</f>
        <v>200000</v>
      </c>
      <c r="AA18" s="27">
        <f>Tabella1[[#This Row],[Importo stimato lotto  ]]*2/3</f>
        <v>400000</v>
      </c>
      <c r="AB18" s="27">
        <f>Tabella1[[#This Row],[Importo stimato lotto  ]]-Tabella1[[#This Row],[STIMA DEI COSTI DELL''ACQUISTO
Primo anno]]-Tabella1[[#This Row],[STIMA DEI COSTI DELL''ACQUISTO
Secondo anno]]</f>
        <v>0</v>
      </c>
      <c r="AC18" s="27">
        <f>Tabella1[[#This Row],[Importo stimato lotto  ]]*0.1</f>
        <v>60000</v>
      </c>
      <c r="AD18" s="4" t="s">
        <v>36</v>
      </c>
    </row>
    <row r="19" spans="1:30" s="2" customFormat="1" ht="24.95" customHeight="1" x14ac:dyDescent="0.25">
      <c r="A19" s="2" t="s">
        <v>30</v>
      </c>
      <c r="B19" s="3" t="s">
        <v>31</v>
      </c>
      <c r="H19" s="4" t="s">
        <v>32</v>
      </c>
      <c r="I19" s="16">
        <v>405000</v>
      </c>
      <c r="J19" s="4" t="s">
        <v>33</v>
      </c>
      <c r="L19" s="2" t="s">
        <v>96</v>
      </c>
      <c r="M19" s="2" t="s">
        <v>262</v>
      </c>
      <c r="N19" s="18" t="s">
        <v>121</v>
      </c>
      <c r="O19" s="4" t="s">
        <v>32</v>
      </c>
      <c r="P19" s="2">
        <v>1</v>
      </c>
      <c r="Q19" s="20" t="s">
        <v>107</v>
      </c>
      <c r="R19" s="20" t="s">
        <v>110</v>
      </c>
      <c r="S19" s="23" t="s">
        <v>64</v>
      </c>
      <c r="V19" s="4">
        <v>4</v>
      </c>
      <c r="W19" s="4" t="s">
        <v>36</v>
      </c>
      <c r="X19" s="2" t="s">
        <v>133</v>
      </c>
      <c r="Y19" s="29" t="s">
        <v>83</v>
      </c>
      <c r="Z19" s="27">
        <f>Tabella1[[#This Row],[Importo stimato lotto  ]]</f>
        <v>405000</v>
      </c>
      <c r="AA19" s="27">
        <v>0</v>
      </c>
      <c r="AB19" s="27">
        <f>Tabella1[[#This Row],[Importo stimato lotto  ]]-Tabella1[[#This Row],[STIMA DEI COSTI DELL''ACQUISTO
Primo anno]]-Tabella1[[#This Row],[STIMA DEI COSTI DELL''ACQUISTO
Secondo anno]]</f>
        <v>0</v>
      </c>
      <c r="AC19" s="27">
        <f>Tabella1[[#This Row],[Importo stimato lotto  ]]*0.1</f>
        <v>40500</v>
      </c>
      <c r="AD19" s="4" t="s">
        <v>36</v>
      </c>
    </row>
    <row r="20" spans="1:30" s="2" customFormat="1" ht="60" customHeight="1" x14ac:dyDescent="0.25">
      <c r="A20" s="2" t="s">
        <v>30</v>
      </c>
      <c r="B20" s="3" t="s">
        <v>31</v>
      </c>
      <c r="H20" s="4" t="s">
        <v>32</v>
      </c>
      <c r="I20" s="16">
        <v>120000</v>
      </c>
      <c r="J20" s="4" t="s">
        <v>33</v>
      </c>
      <c r="L20" s="2" t="s">
        <v>96</v>
      </c>
      <c r="M20" s="2" t="s">
        <v>255</v>
      </c>
      <c r="N20" s="18" t="s">
        <v>90</v>
      </c>
      <c r="O20" s="4" t="s">
        <v>32</v>
      </c>
      <c r="P20" s="2">
        <v>1</v>
      </c>
      <c r="Q20" s="20" t="s">
        <v>106</v>
      </c>
      <c r="R20" s="20" t="s">
        <v>111</v>
      </c>
      <c r="S20" s="23" t="s">
        <v>63</v>
      </c>
      <c r="V20" s="4">
        <v>24</v>
      </c>
      <c r="W20" s="4" t="s">
        <v>36</v>
      </c>
      <c r="X20" s="2" t="s">
        <v>132</v>
      </c>
      <c r="Y20" s="29" t="s">
        <v>88</v>
      </c>
      <c r="Z20" s="27">
        <v>0</v>
      </c>
      <c r="AA20" s="27">
        <f>Tabella1[[#This Row],[Importo stimato lotto  ]]/2</f>
        <v>60000</v>
      </c>
      <c r="AB20" s="27">
        <f>Tabella1[[#This Row],[Importo stimato lotto  ]]-Tabella1[[#This Row],[STIMA DEI COSTI DELL''ACQUISTO
Primo anno]]-Tabella1[[#This Row],[STIMA DEI COSTI DELL''ACQUISTO
Secondo anno]]</f>
        <v>60000</v>
      </c>
      <c r="AC20" s="27">
        <f>Tabella1[[#This Row],[Importo stimato lotto  ]]*0.1</f>
        <v>12000</v>
      </c>
      <c r="AD20" s="4" t="s">
        <v>36</v>
      </c>
    </row>
    <row r="21" spans="1:30" s="2" customFormat="1" ht="24.95" customHeight="1" x14ac:dyDescent="0.25">
      <c r="A21" s="2" t="s">
        <v>30</v>
      </c>
      <c r="B21" s="3" t="s">
        <v>31</v>
      </c>
      <c r="H21" s="4" t="s">
        <v>32</v>
      </c>
      <c r="I21" s="16">
        <v>85000</v>
      </c>
      <c r="J21" s="4" t="s">
        <v>33</v>
      </c>
      <c r="L21" s="2" t="s">
        <v>96</v>
      </c>
      <c r="M21" s="2" t="s">
        <v>263</v>
      </c>
      <c r="N21" s="18" t="s">
        <v>91</v>
      </c>
      <c r="O21" s="4" t="s">
        <v>32</v>
      </c>
      <c r="P21" s="2">
        <v>1</v>
      </c>
      <c r="Q21" s="20" t="s">
        <v>112</v>
      </c>
      <c r="R21" s="20" t="s">
        <v>113</v>
      </c>
      <c r="S21" s="23" t="s">
        <v>135</v>
      </c>
      <c r="V21" s="4">
        <v>24</v>
      </c>
      <c r="W21" s="4" t="s">
        <v>36</v>
      </c>
      <c r="X21" s="2" t="s">
        <v>132</v>
      </c>
      <c r="Y21" s="29" t="s">
        <v>74</v>
      </c>
      <c r="Z21" s="27">
        <f>Tabella1[[#This Row],[Importo stimato lotto  ]]*8/24</f>
        <v>28333.333333333332</v>
      </c>
      <c r="AA21" s="27">
        <f>Tabella1[[#This Row],[Importo stimato lotto  ]]*12/24</f>
        <v>42500</v>
      </c>
      <c r="AB21" s="27">
        <f>Tabella1[[#This Row],[Importo stimato lotto  ]]-Tabella1[[#This Row],[STIMA DEI COSTI DELL''ACQUISTO
Primo anno]]-Tabella1[[#This Row],[STIMA DEI COSTI DELL''ACQUISTO
Secondo anno]]</f>
        <v>14166.666666666672</v>
      </c>
      <c r="AC21" s="27">
        <f>Tabella1[[#This Row],[Importo stimato lotto  ]]*0.1</f>
        <v>8500</v>
      </c>
      <c r="AD21" s="4" t="s">
        <v>36</v>
      </c>
    </row>
    <row r="22" spans="1:30" s="2" customFormat="1" ht="24.95" customHeight="1" x14ac:dyDescent="0.25">
      <c r="A22" s="2" t="s">
        <v>30</v>
      </c>
      <c r="B22" s="3" t="s">
        <v>31</v>
      </c>
      <c r="H22" s="4" t="s">
        <v>32</v>
      </c>
      <c r="I22" s="16">
        <v>85000</v>
      </c>
      <c r="J22" s="4" t="s">
        <v>33</v>
      </c>
      <c r="L22" s="2" t="s">
        <v>96</v>
      </c>
      <c r="M22" s="2" t="s">
        <v>263</v>
      </c>
      <c r="N22" s="18" t="s">
        <v>124</v>
      </c>
      <c r="O22" s="4" t="s">
        <v>32</v>
      </c>
      <c r="P22" s="2">
        <v>1</v>
      </c>
      <c r="Q22" s="20" t="s">
        <v>112</v>
      </c>
      <c r="R22" s="20" t="s">
        <v>114</v>
      </c>
      <c r="S22" s="23" t="s">
        <v>135</v>
      </c>
      <c r="V22" s="4">
        <v>24</v>
      </c>
      <c r="W22" s="4" t="s">
        <v>36</v>
      </c>
      <c r="X22" s="2" t="s">
        <v>132</v>
      </c>
      <c r="Y22" s="29" t="s">
        <v>74</v>
      </c>
      <c r="Z22" s="27">
        <f>Tabella1[[#This Row],[Importo stimato lotto  ]]*8/24</f>
        <v>28333.333333333332</v>
      </c>
      <c r="AA22" s="27">
        <f>Tabella1[[#This Row],[Importo stimato lotto  ]]*12/24</f>
        <v>42500</v>
      </c>
      <c r="AB22" s="27">
        <f>Tabella1[[#This Row],[Importo stimato lotto  ]]-Tabella1[[#This Row],[STIMA DEI COSTI DELL''ACQUISTO
Primo anno]]-Tabella1[[#This Row],[STIMA DEI COSTI DELL''ACQUISTO
Secondo anno]]</f>
        <v>14166.666666666672</v>
      </c>
      <c r="AC22" s="27">
        <f>Tabella1[[#This Row],[Importo stimato lotto  ]]*0.1</f>
        <v>8500</v>
      </c>
      <c r="AD22" s="4" t="s">
        <v>36</v>
      </c>
    </row>
    <row r="23" spans="1:30" s="2" customFormat="1" ht="24.95" customHeight="1" x14ac:dyDescent="0.25">
      <c r="A23" s="2" t="s">
        <v>30</v>
      </c>
      <c r="B23" s="3" t="s">
        <v>31</v>
      </c>
      <c r="H23" s="4" t="s">
        <v>32</v>
      </c>
      <c r="I23" s="16">
        <v>50000</v>
      </c>
      <c r="J23" s="4" t="s">
        <v>33</v>
      </c>
      <c r="L23" s="2" t="s">
        <v>96</v>
      </c>
      <c r="M23" s="2" t="s">
        <v>265</v>
      </c>
      <c r="N23" s="18" t="s">
        <v>115</v>
      </c>
      <c r="O23" s="4" t="s">
        <v>32</v>
      </c>
      <c r="P23" s="2">
        <v>1</v>
      </c>
      <c r="Q23" s="20" t="s">
        <v>116</v>
      </c>
      <c r="R23" s="20" t="s">
        <v>117</v>
      </c>
      <c r="S23" s="23" t="s">
        <v>61</v>
      </c>
      <c r="V23" s="4">
        <v>12</v>
      </c>
      <c r="W23" s="4" t="s">
        <v>36</v>
      </c>
      <c r="X23" s="2" t="s">
        <v>133</v>
      </c>
      <c r="Y23" s="29" t="s">
        <v>92</v>
      </c>
      <c r="Z23" s="27">
        <v>0</v>
      </c>
      <c r="AA23" s="27">
        <f>Tabella1[[#This Row],[Importo stimato lotto  ]]</f>
        <v>50000</v>
      </c>
      <c r="AB23" s="27">
        <f>Tabella1[[#This Row],[Importo stimato lotto  ]]-Tabella1[[#This Row],[STIMA DEI COSTI DELL''ACQUISTO
Primo anno]]-Tabella1[[#This Row],[STIMA DEI COSTI DELL''ACQUISTO
Secondo anno]]</f>
        <v>0</v>
      </c>
      <c r="AC23" s="27">
        <f>Tabella1[[#This Row],[Importo stimato lotto  ]]*0.1</f>
        <v>5000</v>
      </c>
      <c r="AD23" s="4" t="s">
        <v>36</v>
      </c>
    </row>
    <row r="24" spans="1:30" s="2" customFormat="1" ht="24.95" customHeight="1" x14ac:dyDescent="0.25">
      <c r="A24" s="2" t="s">
        <v>30</v>
      </c>
      <c r="B24" s="3" t="s">
        <v>31</v>
      </c>
      <c r="H24" s="4" t="s">
        <v>32</v>
      </c>
      <c r="I24" s="16">
        <v>2000000</v>
      </c>
      <c r="J24" s="4" t="s">
        <v>33</v>
      </c>
      <c r="L24" s="2" t="s">
        <v>96</v>
      </c>
      <c r="M24" s="2" t="s">
        <v>264</v>
      </c>
      <c r="N24" s="18" t="s">
        <v>125</v>
      </c>
      <c r="O24" s="4" t="s">
        <v>32</v>
      </c>
      <c r="P24" s="2">
        <v>1</v>
      </c>
      <c r="Q24" s="20" t="s">
        <v>112</v>
      </c>
      <c r="R24" s="20" t="s">
        <v>114</v>
      </c>
      <c r="S24" s="23" t="s">
        <v>135</v>
      </c>
      <c r="V24" s="4">
        <v>48</v>
      </c>
      <c r="W24" s="4" t="s">
        <v>36</v>
      </c>
      <c r="X24" s="2" t="s">
        <v>133</v>
      </c>
      <c r="Y24" s="29" t="s">
        <v>81</v>
      </c>
      <c r="Z24" s="27">
        <v>0</v>
      </c>
      <c r="AA24" s="27">
        <f>Tabella1[[#This Row],[Importo stimato lotto  ]]/4</f>
        <v>500000</v>
      </c>
      <c r="AB24" s="27">
        <f>Tabella1[[#This Row],[Importo stimato lotto  ]]-Tabella1[[#This Row],[STIMA DEI COSTI DELL''ACQUISTO
Primo anno]]-Tabella1[[#This Row],[STIMA DEI COSTI DELL''ACQUISTO
Secondo anno]]</f>
        <v>1500000</v>
      </c>
      <c r="AC24" s="27">
        <f>Tabella1[[#This Row],[Importo stimato lotto  ]]*0.1</f>
        <v>200000</v>
      </c>
      <c r="AD24" s="4" t="s">
        <v>36</v>
      </c>
    </row>
    <row r="25" spans="1:30" s="2" customFormat="1" ht="24.95" customHeight="1" x14ac:dyDescent="0.25">
      <c r="A25" s="2" t="s">
        <v>30</v>
      </c>
      <c r="B25" s="3" t="s">
        <v>31</v>
      </c>
      <c r="H25" s="4" t="s">
        <v>32</v>
      </c>
      <c r="I25" s="16">
        <v>176000</v>
      </c>
      <c r="J25" s="4" t="s">
        <v>33</v>
      </c>
      <c r="L25" s="2" t="s">
        <v>96</v>
      </c>
      <c r="M25" s="2" t="s">
        <v>264</v>
      </c>
      <c r="N25" s="18" t="s">
        <v>93</v>
      </c>
      <c r="O25" s="4" t="s">
        <v>32</v>
      </c>
      <c r="P25" s="2">
        <v>1</v>
      </c>
      <c r="Q25" s="20" t="s">
        <v>118</v>
      </c>
      <c r="R25" s="20" t="s">
        <v>119</v>
      </c>
      <c r="S25" s="23" t="s">
        <v>65</v>
      </c>
      <c r="V25" s="4">
        <v>6</v>
      </c>
      <c r="W25" s="4" t="s">
        <v>36</v>
      </c>
      <c r="X25" s="2" t="s">
        <v>133</v>
      </c>
      <c r="Y25" s="29" t="s">
        <v>81</v>
      </c>
      <c r="Z25" s="27">
        <f>Tabella1[[#This Row],[Importo stimato lotto  ]]/6</f>
        <v>29333.333333333332</v>
      </c>
      <c r="AA25" s="27">
        <f>Tabella1[[#This Row],[Importo stimato lotto  ]]*5/6</f>
        <v>146666.66666666666</v>
      </c>
      <c r="AB25" s="27">
        <f>Tabella1[[#This Row],[Importo stimato lotto  ]]-Tabella1[[#This Row],[STIMA DEI COSTI DELL''ACQUISTO
Primo anno]]-Tabella1[[#This Row],[STIMA DEI COSTI DELL''ACQUISTO
Secondo anno]]</f>
        <v>0</v>
      </c>
      <c r="AC25" s="27">
        <f>Tabella1[[#This Row],[Importo stimato lotto  ]]*0.1</f>
        <v>17600</v>
      </c>
      <c r="AD25" s="4" t="s">
        <v>36</v>
      </c>
    </row>
    <row r="26" spans="1:30" s="2" customFormat="1" ht="24.95" customHeight="1" x14ac:dyDescent="0.25">
      <c r="A26" s="2" t="s">
        <v>30</v>
      </c>
      <c r="B26" s="3" t="s">
        <v>31</v>
      </c>
      <c r="H26" s="4" t="s">
        <v>32</v>
      </c>
      <c r="I26" s="16">
        <v>133000</v>
      </c>
      <c r="J26" s="4" t="s">
        <v>33</v>
      </c>
      <c r="L26" s="2" t="s">
        <v>96</v>
      </c>
      <c r="M26" s="2" t="s">
        <v>264</v>
      </c>
      <c r="N26" s="18" t="s">
        <v>94</v>
      </c>
      <c r="O26" s="4" t="s">
        <v>32</v>
      </c>
      <c r="P26" s="2">
        <v>1</v>
      </c>
      <c r="Q26" s="20" t="s">
        <v>118</v>
      </c>
      <c r="R26" s="20" t="s">
        <v>120</v>
      </c>
      <c r="S26" s="23" t="s">
        <v>65</v>
      </c>
      <c r="V26" s="4">
        <v>3</v>
      </c>
      <c r="W26" s="4" t="s">
        <v>36</v>
      </c>
      <c r="X26" s="2" t="s">
        <v>133</v>
      </c>
      <c r="Y26" s="29" t="s">
        <v>81</v>
      </c>
      <c r="Z26" s="27">
        <f>Tabella1[[#This Row],[Importo stimato lotto  ]]*2/3</f>
        <v>88666.666666666672</v>
      </c>
      <c r="AA26" s="27">
        <f>Tabella1[[#This Row],[Importo stimato lotto  ]]/3</f>
        <v>44333.333333333336</v>
      </c>
      <c r="AB26" s="27">
        <f>Tabella1[[#This Row],[Importo stimato lotto  ]]-Tabella1[[#This Row],[STIMA DEI COSTI DELL''ACQUISTO
Primo anno]]-Tabella1[[#This Row],[STIMA DEI COSTI DELL''ACQUISTO
Secondo anno]]</f>
        <v>0</v>
      </c>
      <c r="AC26" s="27">
        <f>Tabella1[[#This Row],[Importo stimato lotto  ]]*0.1</f>
        <v>13300</v>
      </c>
      <c r="AD26" s="4" t="s">
        <v>36</v>
      </c>
    </row>
    <row r="27" spans="1:30" s="2" customFormat="1" ht="24.95" customHeight="1" x14ac:dyDescent="0.25">
      <c r="A27" s="2" t="s">
        <v>30</v>
      </c>
      <c r="B27" s="3" t="s">
        <v>31</v>
      </c>
      <c r="H27" s="4" t="s">
        <v>32</v>
      </c>
      <c r="I27" s="17">
        <v>575000</v>
      </c>
      <c r="J27" s="4" t="s">
        <v>33</v>
      </c>
      <c r="L27" s="2" t="s">
        <v>96</v>
      </c>
      <c r="M27" s="2" t="s">
        <v>41</v>
      </c>
      <c r="N27" s="18" t="s">
        <v>136</v>
      </c>
      <c r="Q27" s="20" t="s">
        <v>244</v>
      </c>
      <c r="R27" s="20" t="s">
        <v>59</v>
      </c>
      <c r="S27" s="23"/>
      <c r="V27" s="4"/>
      <c r="W27" s="4" t="s">
        <v>36</v>
      </c>
      <c r="Y27" s="29" t="s">
        <v>294</v>
      </c>
      <c r="Z27" s="27"/>
      <c r="AA27" s="27"/>
      <c r="AB27" s="27">
        <f>Tabella1[[#This Row],[Importo stimato lotto  ]]-Tabella1[[#This Row],[STIMA DEI COSTI DELL''ACQUISTO
Primo anno]]-Tabella1[[#This Row],[STIMA DEI COSTI DELL''ACQUISTO
Secondo anno]]</f>
        <v>575000</v>
      </c>
      <c r="AC27" s="27">
        <f>Tabella1[[#This Row],[Importo stimato lotto  ]]*0.1</f>
        <v>57500</v>
      </c>
      <c r="AD27" s="4" t="s">
        <v>36</v>
      </c>
    </row>
    <row r="28" spans="1:30" s="2" customFormat="1" ht="24.95" customHeight="1" x14ac:dyDescent="0.25">
      <c r="A28" s="2" t="s">
        <v>30</v>
      </c>
      <c r="B28" s="3" t="s">
        <v>31</v>
      </c>
      <c r="H28" s="4" t="s">
        <v>32</v>
      </c>
      <c r="I28" s="17">
        <v>115000</v>
      </c>
      <c r="J28" s="4" t="s">
        <v>33</v>
      </c>
      <c r="L28" s="2" t="s">
        <v>96</v>
      </c>
      <c r="M28" s="2" t="s">
        <v>270</v>
      </c>
      <c r="N28" s="18" t="s">
        <v>43</v>
      </c>
      <c r="Q28" s="21" t="s">
        <v>209</v>
      </c>
      <c r="R28" s="21" t="s">
        <v>210</v>
      </c>
      <c r="S28" s="23" t="s">
        <v>42</v>
      </c>
      <c r="V28" s="4">
        <v>12</v>
      </c>
      <c r="W28" s="4" t="s">
        <v>36</v>
      </c>
      <c r="X28" s="2" t="s">
        <v>133</v>
      </c>
      <c r="Y28" s="29" t="s">
        <v>74</v>
      </c>
      <c r="Z28" s="27">
        <f>Tabella1[[#This Row],[Importo stimato lotto  ]]*9/12</f>
        <v>86250</v>
      </c>
      <c r="AA28" s="27">
        <f>Tabella1[[#This Row],[Importo stimato lotto  ]]*3/12</f>
        <v>28750</v>
      </c>
      <c r="AB28" s="27">
        <f>Tabella1[[#This Row],[Importo stimato lotto  ]]-Tabella1[[#This Row],[STIMA DEI COSTI DELL''ACQUISTO
Primo anno]]-Tabella1[[#This Row],[STIMA DEI COSTI DELL''ACQUISTO
Secondo anno]]</f>
        <v>0</v>
      </c>
      <c r="AC28" s="27">
        <f>Tabella1[[#This Row],[Importo stimato lotto  ]]*0.1</f>
        <v>11500</v>
      </c>
      <c r="AD28" s="4" t="s">
        <v>36</v>
      </c>
    </row>
    <row r="29" spans="1:30" s="2" customFormat="1" ht="24.95" customHeight="1" x14ac:dyDescent="0.25">
      <c r="A29" s="2" t="s">
        <v>30</v>
      </c>
      <c r="B29" s="3" t="s">
        <v>31</v>
      </c>
      <c r="H29" s="4" t="s">
        <v>32</v>
      </c>
      <c r="I29" s="17">
        <v>92000</v>
      </c>
      <c r="J29" s="4" t="s">
        <v>33</v>
      </c>
      <c r="L29" s="2" t="s">
        <v>96</v>
      </c>
      <c r="M29" s="2" t="s">
        <v>41</v>
      </c>
      <c r="N29" s="18" t="s">
        <v>137</v>
      </c>
      <c r="Q29" s="21" t="s">
        <v>209</v>
      </c>
      <c r="R29" s="21" t="s">
        <v>210</v>
      </c>
      <c r="S29" s="23" t="s">
        <v>42</v>
      </c>
      <c r="V29" s="4">
        <v>12</v>
      </c>
      <c r="W29" s="4" t="s">
        <v>36</v>
      </c>
      <c r="X29" s="2" t="s">
        <v>133</v>
      </c>
      <c r="Y29" s="29" t="s">
        <v>74</v>
      </c>
      <c r="Z29" s="27">
        <f>Tabella1[[#This Row],[Importo stimato lotto  ]]*9/12</f>
        <v>69000</v>
      </c>
      <c r="AA29" s="27">
        <f>Tabella1[[#This Row],[Importo stimato lotto  ]]*3/12</f>
        <v>23000</v>
      </c>
      <c r="AB29" s="27">
        <f>Tabella1[[#This Row],[Importo stimato lotto  ]]-Tabella1[[#This Row],[STIMA DEI COSTI DELL''ACQUISTO
Primo anno]]-Tabella1[[#This Row],[STIMA DEI COSTI DELL''ACQUISTO
Secondo anno]]</f>
        <v>0</v>
      </c>
      <c r="AC29" s="27">
        <f>Tabella1[[#This Row],[Importo stimato lotto  ]]*0.1</f>
        <v>9200</v>
      </c>
      <c r="AD29" s="4" t="s">
        <v>36</v>
      </c>
    </row>
    <row r="30" spans="1:30" s="2" customFormat="1" ht="24.95" customHeight="1" x14ac:dyDescent="0.25">
      <c r="A30" s="2" t="s">
        <v>30</v>
      </c>
      <c r="B30" s="3" t="s">
        <v>31</v>
      </c>
      <c r="H30" s="4" t="s">
        <v>32</v>
      </c>
      <c r="I30" s="17">
        <v>1035000</v>
      </c>
      <c r="J30" s="4" t="s">
        <v>33</v>
      </c>
      <c r="L30" s="2" t="s">
        <v>96</v>
      </c>
      <c r="M30" s="2" t="s">
        <v>41</v>
      </c>
      <c r="N30" s="18" t="s">
        <v>138</v>
      </c>
      <c r="Q30" s="21" t="s">
        <v>209</v>
      </c>
      <c r="R30" s="21" t="s">
        <v>210</v>
      </c>
      <c r="S30" s="23" t="s">
        <v>42</v>
      </c>
      <c r="V30" s="4">
        <v>18</v>
      </c>
      <c r="W30" s="4" t="s">
        <v>36</v>
      </c>
      <c r="X30" s="2" t="s">
        <v>133</v>
      </c>
      <c r="Y30" s="29" t="s">
        <v>86</v>
      </c>
      <c r="Z30" s="27">
        <v>0</v>
      </c>
      <c r="AA30" s="27">
        <f>Tabella1[[#This Row],[Importo stimato lotto  ]]*12/18</f>
        <v>690000</v>
      </c>
      <c r="AB30" s="27">
        <f>Tabella1[[#This Row],[Importo stimato lotto  ]]-Tabella1[[#This Row],[STIMA DEI COSTI DELL''ACQUISTO
Primo anno]]-Tabella1[[#This Row],[STIMA DEI COSTI DELL''ACQUISTO
Secondo anno]]</f>
        <v>345000</v>
      </c>
      <c r="AC30" s="27">
        <f>Tabella1[[#This Row],[Importo stimato lotto  ]]*0.1</f>
        <v>103500</v>
      </c>
      <c r="AD30" s="4" t="s">
        <v>36</v>
      </c>
    </row>
    <row r="31" spans="1:30" s="2" customFormat="1" ht="60" customHeight="1" x14ac:dyDescent="0.25">
      <c r="A31" s="2" t="s">
        <v>30</v>
      </c>
      <c r="B31" s="3" t="s">
        <v>31</v>
      </c>
      <c r="H31" s="4" t="s">
        <v>32</v>
      </c>
      <c r="I31" s="17">
        <v>2070000</v>
      </c>
      <c r="J31" s="4" t="s">
        <v>33</v>
      </c>
      <c r="L31" s="2" t="s">
        <v>96</v>
      </c>
      <c r="M31" s="2" t="s">
        <v>41</v>
      </c>
      <c r="N31" s="18" t="s">
        <v>139</v>
      </c>
      <c r="Q31" s="21" t="s">
        <v>209</v>
      </c>
      <c r="R31" s="21" t="s">
        <v>210</v>
      </c>
      <c r="S31" s="23" t="s">
        <v>42</v>
      </c>
      <c r="V31" s="4">
        <v>18</v>
      </c>
      <c r="W31" s="4" t="s">
        <v>36</v>
      </c>
      <c r="X31" s="2" t="s">
        <v>133</v>
      </c>
      <c r="Y31" s="29" t="s">
        <v>74</v>
      </c>
      <c r="Z31" s="27">
        <f>Tabella1[[#This Row],[Importo stimato lotto  ]]*9/18</f>
        <v>1035000</v>
      </c>
      <c r="AA31" s="27">
        <f>Tabella1[[#This Row],[Importo stimato lotto  ]]*12/18</f>
        <v>1380000</v>
      </c>
      <c r="AB31" s="27">
        <f>Tabella1[[#This Row],[Importo stimato lotto  ]]-Tabella1[[#This Row],[STIMA DEI COSTI DELL''ACQUISTO
Primo anno]]-Tabella1[[#This Row],[STIMA DEI COSTI DELL''ACQUISTO
Secondo anno]]</f>
        <v>-345000</v>
      </c>
      <c r="AC31" s="27">
        <f>Tabella1[[#This Row],[Importo stimato lotto  ]]*0.1</f>
        <v>207000</v>
      </c>
      <c r="AD31" s="4" t="s">
        <v>36</v>
      </c>
    </row>
    <row r="32" spans="1:30" s="2" customFormat="1" ht="24.95" customHeight="1" x14ac:dyDescent="0.25">
      <c r="A32" s="2" t="s">
        <v>30</v>
      </c>
      <c r="B32" s="3" t="s">
        <v>31</v>
      </c>
      <c r="H32" s="4" t="s">
        <v>32</v>
      </c>
      <c r="I32" s="17">
        <v>63250</v>
      </c>
      <c r="J32" s="4" t="s">
        <v>33</v>
      </c>
      <c r="L32" s="2" t="s">
        <v>96</v>
      </c>
      <c r="M32" s="2" t="s">
        <v>270</v>
      </c>
      <c r="N32" s="18" t="s">
        <v>140</v>
      </c>
      <c r="Q32" s="21" t="s">
        <v>209</v>
      </c>
      <c r="R32" s="21" t="s">
        <v>210</v>
      </c>
      <c r="S32" s="23" t="s">
        <v>42</v>
      </c>
      <c r="V32" s="4">
        <v>8</v>
      </c>
      <c r="W32" s="4" t="s">
        <v>36</v>
      </c>
      <c r="X32" s="2" t="s">
        <v>133</v>
      </c>
      <c r="Y32" s="29" t="s">
        <v>74</v>
      </c>
      <c r="Z32" s="27">
        <f>Tabella1[[#This Row],[Importo stimato lotto  ]]</f>
        <v>63250</v>
      </c>
      <c r="AA32" s="27">
        <v>0</v>
      </c>
      <c r="AB32" s="27">
        <f>Tabella1[[#This Row],[Importo stimato lotto  ]]-Tabella1[[#This Row],[STIMA DEI COSTI DELL''ACQUISTO
Primo anno]]-Tabella1[[#This Row],[STIMA DEI COSTI DELL''ACQUISTO
Secondo anno]]</f>
        <v>0</v>
      </c>
      <c r="AC32" s="27">
        <f>Tabella1[[#This Row],[Importo stimato lotto  ]]*0.1</f>
        <v>6325</v>
      </c>
      <c r="AD32" s="4" t="s">
        <v>36</v>
      </c>
    </row>
    <row r="33" spans="1:30" s="2" customFormat="1" ht="24.95" customHeight="1" x14ac:dyDescent="0.25">
      <c r="A33" s="2" t="s">
        <v>30</v>
      </c>
      <c r="B33" s="3" t="s">
        <v>31</v>
      </c>
      <c r="H33" s="4" t="s">
        <v>32</v>
      </c>
      <c r="I33" s="17">
        <v>1005000</v>
      </c>
      <c r="J33" s="4" t="s">
        <v>33</v>
      </c>
      <c r="L33" s="2" t="s">
        <v>96</v>
      </c>
      <c r="M33" s="2" t="s">
        <v>41</v>
      </c>
      <c r="N33" s="18" t="s">
        <v>141</v>
      </c>
      <c r="Q33" s="21" t="s">
        <v>211</v>
      </c>
      <c r="R33" s="21" t="s">
        <v>212</v>
      </c>
      <c r="S33" s="23" t="s">
        <v>44</v>
      </c>
      <c r="V33" s="9">
        <v>12</v>
      </c>
      <c r="W33" s="4" t="s">
        <v>36</v>
      </c>
      <c r="X33" s="2" t="s">
        <v>126</v>
      </c>
      <c r="Y33" s="29" t="s">
        <v>74</v>
      </c>
      <c r="Z33" s="27">
        <f>Tabella1[[#This Row],[Importo stimato lotto  ]]*8/12</f>
        <v>670000</v>
      </c>
      <c r="AA33" s="27">
        <f>Tabella1[[#This Row],[Importo stimato lotto  ]]*4/12</f>
        <v>335000</v>
      </c>
      <c r="AB33" s="27">
        <f>Tabella1[[#This Row],[Importo stimato lotto  ]]-Tabella1[[#This Row],[STIMA DEI COSTI DELL''ACQUISTO
Primo anno]]-Tabella1[[#This Row],[STIMA DEI COSTI DELL''ACQUISTO
Secondo anno]]</f>
        <v>0</v>
      </c>
      <c r="AC33" s="27">
        <f>Tabella1[[#This Row],[Importo stimato lotto  ]]*0.1</f>
        <v>100500</v>
      </c>
      <c r="AD33" s="4" t="s">
        <v>36</v>
      </c>
    </row>
    <row r="34" spans="1:30" s="2" customFormat="1" ht="24.95" customHeight="1" x14ac:dyDescent="0.25">
      <c r="A34" s="2" t="s">
        <v>30</v>
      </c>
      <c r="B34" s="3" t="s">
        <v>31</v>
      </c>
      <c r="H34" s="4" t="s">
        <v>32</v>
      </c>
      <c r="I34" s="17">
        <v>50000</v>
      </c>
      <c r="J34" s="4" t="s">
        <v>33</v>
      </c>
      <c r="L34" s="2" t="s">
        <v>96</v>
      </c>
      <c r="M34" s="2" t="s">
        <v>41</v>
      </c>
      <c r="N34" s="18" t="s">
        <v>142</v>
      </c>
      <c r="Q34" s="21" t="s">
        <v>211</v>
      </c>
      <c r="R34" s="21" t="s">
        <v>212</v>
      </c>
      <c r="S34" s="23" t="s">
        <v>44</v>
      </c>
      <c r="V34" s="9">
        <v>12</v>
      </c>
      <c r="W34" s="4" t="s">
        <v>36</v>
      </c>
      <c r="X34" s="2" t="s">
        <v>133</v>
      </c>
      <c r="Y34" s="29" t="s">
        <v>86</v>
      </c>
      <c r="Z34" s="27">
        <v>0</v>
      </c>
      <c r="AA34" s="27">
        <f>Tabella1[[#This Row],[Importo stimato lotto  ]]</f>
        <v>50000</v>
      </c>
      <c r="AB34" s="27">
        <f>Tabella1[[#This Row],[Importo stimato lotto  ]]-Tabella1[[#This Row],[STIMA DEI COSTI DELL''ACQUISTO
Primo anno]]-Tabella1[[#This Row],[STIMA DEI COSTI DELL''ACQUISTO
Secondo anno]]</f>
        <v>0</v>
      </c>
      <c r="AC34" s="27">
        <f>Tabella1[[#This Row],[Importo stimato lotto  ]]*0.1</f>
        <v>5000</v>
      </c>
      <c r="AD34" s="4" t="s">
        <v>36</v>
      </c>
    </row>
    <row r="35" spans="1:30" s="2" customFormat="1" ht="24.95" customHeight="1" x14ac:dyDescent="0.25">
      <c r="A35" s="2" t="s">
        <v>30</v>
      </c>
      <c r="B35" s="3" t="s">
        <v>31</v>
      </c>
      <c r="H35" s="4" t="s">
        <v>32</v>
      </c>
      <c r="I35" s="17">
        <v>400000</v>
      </c>
      <c r="J35" s="4" t="s">
        <v>33</v>
      </c>
      <c r="L35" s="2" t="s">
        <v>96</v>
      </c>
      <c r="M35" s="2" t="s">
        <v>41</v>
      </c>
      <c r="N35" s="18" t="s">
        <v>45</v>
      </c>
      <c r="Q35" s="21" t="s">
        <v>211</v>
      </c>
      <c r="R35" s="21" t="s">
        <v>212</v>
      </c>
      <c r="S35" s="23" t="s">
        <v>44</v>
      </c>
      <c r="V35" s="9">
        <v>24</v>
      </c>
      <c r="W35" s="4" t="s">
        <v>36</v>
      </c>
      <c r="X35" s="2" t="s">
        <v>133</v>
      </c>
      <c r="Y35" s="29" t="s">
        <v>86</v>
      </c>
      <c r="Z35" s="27">
        <v>0</v>
      </c>
      <c r="AA35" s="27">
        <f>Tabella1[[#This Row],[Importo stimato lotto  ]]/2</f>
        <v>200000</v>
      </c>
      <c r="AB35" s="27">
        <f>Tabella1[[#This Row],[Importo stimato lotto  ]]-Tabella1[[#This Row],[STIMA DEI COSTI DELL''ACQUISTO
Primo anno]]-Tabella1[[#This Row],[STIMA DEI COSTI DELL''ACQUISTO
Secondo anno]]</f>
        <v>200000</v>
      </c>
      <c r="AC35" s="27">
        <f>Tabella1[[#This Row],[Importo stimato lotto  ]]*0.1</f>
        <v>40000</v>
      </c>
      <c r="AD35" s="4" t="s">
        <v>36</v>
      </c>
    </row>
    <row r="36" spans="1:30" s="2" customFormat="1" ht="24.95" customHeight="1" x14ac:dyDescent="0.25">
      <c r="A36" s="2" t="s">
        <v>30</v>
      </c>
      <c r="B36" s="3" t="s">
        <v>31</v>
      </c>
      <c r="H36" s="4" t="s">
        <v>32</v>
      </c>
      <c r="I36" s="17">
        <v>160000</v>
      </c>
      <c r="J36" s="4" t="s">
        <v>33</v>
      </c>
      <c r="L36" s="2" t="s">
        <v>96</v>
      </c>
      <c r="M36" s="2" t="s">
        <v>41</v>
      </c>
      <c r="N36" s="18" t="s">
        <v>143</v>
      </c>
      <c r="Q36" s="21" t="s">
        <v>211</v>
      </c>
      <c r="R36" s="21" t="s">
        <v>212</v>
      </c>
      <c r="S36" s="23" t="s">
        <v>44</v>
      </c>
      <c r="V36" s="9">
        <v>12</v>
      </c>
      <c r="W36" s="4" t="s">
        <v>36</v>
      </c>
      <c r="X36" s="2" t="s">
        <v>132</v>
      </c>
      <c r="Y36" s="29" t="s">
        <v>74</v>
      </c>
      <c r="Z36" s="27">
        <f>Tabella1[[#This Row],[Importo stimato lotto  ]]*8/12</f>
        <v>106666.66666666667</v>
      </c>
      <c r="AA36" s="27">
        <f>Tabella1[[#This Row],[Importo stimato lotto  ]]*4/12</f>
        <v>53333.333333333336</v>
      </c>
      <c r="AB36" s="27">
        <f>Tabella1[[#This Row],[Importo stimato lotto  ]]-Tabella1[[#This Row],[STIMA DEI COSTI DELL''ACQUISTO
Primo anno]]-Tabella1[[#This Row],[STIMA DEI COSTI DELL''ACQUISTO
Secondo anno]]</f>
        <v>0</v>
      </c>
      <c r="AC36" s="27">
        <f>Tabella1[[#This Row],[Importo stimato lotto  ]]*0.1</f>
        <v>16000</v>
      </c>
      <c r="AD36" s="4" t="s">
        <v>36</v>
      </c>
    </row>
    <row r="37" spans="1:30" s="2" customFormat="1" ht="24.95" customHeight="1" x14ac:dyDescent="0.25">
      <c r="A37" s="2" t="s">
        <v>30</v>
      </c>
      <c r="B37" s="3" t="s">
        <v>31</v>
      </c>
      <c r="H37" s="4" t="s">
        <v>32</v>
      </c>
      <c r="I37" s="17">
        <v>306100</v>
      </c>
      <c r="J37" s="4" t="s">
        <v>33</v>
      </c>
      <c r="L37" s="2" t="s">
        <v>96</v>
      </c>
      <c r="M37" s="2" t="s">
        <v>41</v>
      </c>
      <c r="N37" s="18" t="s">
        <v>144</v>
      </c>
      <c r="Q37" s="21" t="s">
        <v>211</v>
      </c>
      <c r="R37" s="21" t="s">
        <v>212</v>
      </c>
      <c r="S37" s="23" t="s">
        <v>44</v>
      </c>
      <c r="V37" s="9">
        <v>24</v>
      </c>
      <c r="W37" s="4" t="s">
        <v>36</v>
      </c>
      <c r="X37" s="2" t="s">
        <v>132</v>
      </c>
      <c r="Y37" s="29" t="s">
        <v>74</v>
      </c>
      <c r="Z37" s="27">
        <f>Tabella1[[#This Row],[Importo stimato lotto  ]]*8/24</f>
        <v>102033.33333333333</v>
      </c>
      <c r="AA37" s="27">
        <f>Tabella1[[#This Row],[Importo stimato lotto  ]]*12/24</f>
        <v>153050</v>
      </c>
      <c r="AB37" s="27">
        <f>Tabella1[[#This Row],[Importo stimato lotto  ]]-Tabella1[[#This Row],[STIMA DEI COSTI DELL''ACQUISTO
Primo anno]]-Tabella1[[#This Row],[STIMA DEI COSTI DELL''ACQUISTO
Secondo anno]]</f>
        <v>51016.666666666686</v>
      </c>
      <c r="AC37" s="27">
        <f>Tabella1[[#This Row],[Importo stimato lotto  ]]*0.1</f>
        <v>30610</v>
      </c>
      <c r="AD37" s="4" t="s">
        <v>36</v>
      </c>
    </row>
    <row r="38" spans="1:30" s="2" customFormat="1" ht="24.95" customHeight="1" x14ac:dyDescent="0.25">
      <c r="A38" s="2" t="s">
        <v>30</v>
      </c>
      <c r="B38" s="3" t="s">
        <v>31</v>
      </c>
      <c r="H38" s="4" t="s">
        <v>32</v>
      </c>
      <c r="I38" s="17">
        <v>187000</v>
      </c>
      <c r="J38" s="4" t="s">
        <v>33</v>
      </c>
      <c r="L38" s="2" t="s">
        <v>96</v>
      </c>
      <c r="M38" s="2" t="s">
        <v>41</v>
      </c>
      <c r="N38" s="18" t="s">
        <v>145</v>
      </c>
      <c r="Q38" s="21" t="s">
        <v>211</v>
      </c>
      <c r="R38" s="21" t="s">
        <v>212</v>
      </c>
      <c r="S38" s="23" t="s">
        <v>44</v>
      </c>
      <c r="V38" s="9">
        <v>24</v>
      </c>
      <c r="W38" s="4" t="s">
        <v>36</v>
      </c>
      <c r="X38" s="2" t="s">
        <v>132</v>
      </c>
      <c r="Y38" s="29" t="s">
        <v>74</v>
      </c>
      <c r="Z38" s="27">
        <f>Tabella1[[#This Row],[Importo stimato lotto  ]]*8/24</f>
        <v>62333.333333333336</v>
      </c>
      <c r="AA38" s="27">
        <f>Tabella1[[#This Row],[Importo stimato lotto  ]]*12/24</f>
        <v>93500</v>
      </c>
      <c r="AB38" s="27">
        <f>Tabella1[[#This Row],[Importo stimato lotto  ]]-Tabella1[[#This Row],[STIMA DEI COSTI DELL''ACQUISTO
Primo anno]]-Tabella1[[#This Row],[STIMA DEI COSTI DELL''ACQUISTO
Secondo anno]]</f>
        <v>31166.666666666657</v>
      </c>
      <c r="AC38" s="27">
        <f>Tabella1[[#This Row],[Importo stimato lotto  ]]*0.1</f>
        <v>18700</v>
      </c>
      <c r="AD38" s="4" t="s">
        <v>36</v>
      </c>
    </row>
    <row r="39" spans="1:30" s="2" customFormat="1" ht="24.95" customHeight="1" x14ac:dyDescent="0.25">
      <c r="A39" s="2" t="s">
        <v>30</v>
      </c>
      <c r="B39" s="3" t="s">
        <v>31</v>
      </c>
      <c r="H39" s="4" t="s">
        <v>32</v>
      </c>
      <c r="I39" s="17">
        <v>180000</v>
      </c>
      <c r="J39" s="4" t="s">
        <v>33</v>
      </c>
      <c r="L39" s="2" t="s">
        <v>96</v>
      </c>
      <c r="M39" s="2" t="s">
        <v>41</v>
      </c>
      <c r="N39" s="18" t="s">
        <v>146</v>
      </c>
      <c r="Q39" s="21" t="s">
        <v>211</v>
      </c>
      <c r="R39" s="21" t="s">
        <v>212</v>
      </c>
      <c r="S39" s="23" t="s">
        <v>44</v>
      </c>
      <c r="V39" s="9">
        <v>12</v>
      </c>
      <c r="W39" s="4" t="s">
        <v>36</v>
      </c>
      <c r="X39" s="2" t="s">
        <v>126</v>
      </c>
      <c r="Y39" s="29" t="s">
        <v>74</v>
      </c>
      <c r="Z39" s="27">
        <f>Tabella1[[#This Row],[Importo stimato lotto  ]]*8/12</f>
        <v>120000</v>
      </c>
      <c r="AA39" s="27">
        <f>Tabella1[[#This Row],[Importo stimato lotto  ]]*4/12</f>
        <v>60000</v>
      </c>
      <c r="AB39" s="27">
        <f>Tabella1[[#This Row],[Importo stimato lotto  ]]-Tabella1[[#This Row],[STIMA DEI COSTI DELL''ACQUISTO
Primo anno]]-Tabella1[[#This Row],[STIMA DEI COSTI DELL''ACQUISTO
Secondo anno]]</f>
        <v>0</v>
      </c>
      <c r="AC39" s="27">
        <f>Tabella1[[#This Row],[Importo stimato lotto  ]]*0.1</f>
        <v>18000</v>
      </c>
      <c r="AD39" s="4" t="s">
        <v>36</v>
      </c>
    </row>
    <row r="40" spans="1:30" s="2" customFormat="1" ht="24.95" customHeight="1" x14ac:dyDescent="0.25">
      <c r="A40" s="2" t="s">
        <v>30</v>
      </c>
      <c r="B40" s="3" t="s">
        <v>31</v>
      </c>
      <c r="H40" s="4" t="s">
        <v>32</v>
      </c>
      <c r="I40" s="17">
        <v>260000</v>
      </c>
      <c r="J40" s="4" t="s">
        <v>33</v>
      </c>
      <c r="L40" s="2" t="s">
        <v>96</v>
      </c>
      <c r="M40" s="2" t="s">
        <v>41</v>
      </c>
      <c r="N40" s="18" t="s">
        <v>147</v>
      </c>
      <c r="Q40" s="21" t="s">
        <v>211</v>
      </c>
      <c r="R40" s="21" t="s">
        <v>212</v>
      </c>
      <c r="S40" s="23" t="s">
        <v>44</v>
      </c>
      <c r="V40" s="9">
        <v>24</v>
      </c>
      <c r="W40" s="4" t="s">
        <v>36</v>
      </c>
      <c r="X40" s="2" t="s">
        <v>126</v>
      </c>
      <c r="Y40" s="29" t="s">
        <v>74</v>
      </c>
      <c r="Z40" s="27">
        <f>Tabella1[[#This Row],[Importo stimato lotto  ]]*8/24</f>
        <v>86666.666666666672</v>
      </c>
      <c r="AA40" s="27">
        <f>Tabella1[[#This Row],[Importo stimato lotto  ]]*12/24</f>
        <v>130000</v>
      </c>
      <c r="AB40" s="27">
        <f>Tabella1[[#This Row],[Importo stimato lotto  ]]-Tabella1[[#This Row],[STIMA DEI COSTI DELL''ACQUISTO
Primo anno]]-Tabella1[[#This Row],[STIMA DEI COSTI DELL''ACQUISTO
Secondo anno]]</f>
        <v>43333.333333333314</v>
      </c>
      <c r="AC40" s="27">
        <f>Tabella1[[#This Row],[Importo stimato lotto  ]]*0.1</f>
        <v>26000</v>
      </c>
      <c r="AD40" s="4" t="s">
        <v>36</v>
      </c>
    </row>
    <row r="41" spans="1:30" s="2" customFormat="1" ht="24.95" customHeight="1" x14ac:dyDescent="0.25">
      <c r="A41" s="2" t="s">
        <v>30</v>
      </c>
      <c r="B41" s="3" t="s">
        <v>31</v>
      </c>
      <c r="H41" s="4" t="s">
        <v>32</v>
      </c>
      <c r="I41" s="17">
        <v>400000</v>
      </c>
      <c r="J41" s="4" t="s">
        <v>33</v>
      </c>
      <c r="L41" s="2" t="s">
        <v>96</v>
      </c>
      <c r="M41" s="2" t="s">
        <v>41</v>
      </c>
      <c r="N41" s="18" t="s">
        <v>148</v>
      </c>
      <c r="Q41" s="21" t="s">
        <v>211</v>
      </c>
      <c r="R41" s="21" t="s">
        <v>212</v>
      </c>
      <c r="S41" s="23" t="s">
        <v>44</v>
      </c>
      <c r="V41" s="9">
        <v>18</v>
      </c>
      <c r="W41" s="4" t="s">
        <v>36</v>
      </c>
      <c r="X41" s="2" t="s">
        <v>133</v>
      </c>
      <c r="Y41" s="29" t="s">
        <v>295</v>
      </c>
      <c r="Z41" s="27">
        <f>Tabella1[[#This Row],[Importo stimato lotto  ]]*6/18</f>
        <v>133333.33333333334</v>
      </c>
      <c r="AA41" s="27">
        <f>Tabella1[[#This Row],[Importo stimato lotto  ]]*12/18</f>
        <v>266666.66666666669</v>
      </c>
      <c r="AB41" s="27">
        <f>Tabella1[[#This Row],[Importo stimato lotto  ]]-Tabella1[[#This Row],[STIMA DEI COSTI DELL''ACQUISTO
Primo anno]]-Tabella1[[#This Row],[STIMA DEI COSTI DELL''ACQUISTO
Secondo anno]]</f>
        <v>0</v>
      </c>
      <c r="AC41" s="27">
        <f>Tabella1[[#This Row],[Importo stimato lotto  ]]*0.1</f>
        <v>40000</v>
      </c>
      <c r="AD41" s="4" t="s">
        <v>36</v>
      </c>
    </row>
    <row r="42" spans="1:30" s="2" customFormat="1" ht="24.95" customHeight="1" x14ac:dyDescent="0.25">
      <c r="A42" s="2" t="s">
        <v>30</v>
      </c>
      <c r="B42" s="3" t="s">
        <v>31</v>
      </c>
      <c r="H42" s="4" t="s">
        <v>32</v>
      </c>
      <c r="I42" s="17">
        <v>400000</v>
      </c>
      <c r="J42" s="4" t="s">
        <v>33</v>
      </c>
      <c r="L42" s="2" t="s">
        <v>96</v>
      </c>
      <c r="M42" s="2" t="s">
        <v>41</v>
      </c>
      <c r="N42" s="18" t="s">
        <v>148</v>
      </c>
      <c r="Q42" s="21" t="s">
        <v>211</v>
      </c>
      <c r="R42" s="21" t="s">
        <v>212</v>
      </c>
      <c r="S42" s="23" t="s">
        <v>44</v>
      </c>
      <c r="V42" s="9">
        <v>24</v>
      </c>
      <c r="W42" s="4" t="s">
        <v>36</v>
      </c>
      <c r="X42" s="2" t="s">
        <v>133</v>
      </c>
      <c r="Y42" s="29" t="s">
        <v>86</v>
      </c>
      <c r="Z42" s="27">
        <v>0</v>
      </c>
      <c r="AA42" s="27">
        <f>Tabella1[[#This Row],[Importo stimato lotto  ]]/2</f>
        <v>200000</v>
      </c>
      <c r="AB42" s="27">
        <f>Tabella1[[#This Row],[Importo stimato lotto  ]]-Tabella1[[#This Row],[STIMA DEI COSTI DELL''ACQUISTO
Primo anno]]-Tabella1[[#This Row],[STIMA DEI COSTI DELL''ACQUISTO
Secondo anno]]</f>
        <v>200000</v>
      </c>
      <c r="AC42" s="27">
        <f>Tabella1[[#This Row],[Importo stimato lotto  ]]*0.1</f>
        <v>40000</v>
      </c>
      <c r="AD42" s="4" t="s">
        <v>36</v>
      </c>
    </row>
    <row r="43" spans="1:30" s="2" customFormat="1" ht="24.95" customHeight="1" x14ac:dyDescent="0.25">
      <c r="A43" s="2" t="s">
        <v>30</v>
      </c>
      <c r="B43" s="3" t="s">
        <v>31</v>
      </c>
      <c r="H43" s="4" t="s">
        <v>32</v>
      </c>
      <c r="I43" s="17">
        <v>250000</v>
      </c>
      <c r="J43" s="4" t="s">
        <v>33</v>
      </c>
      <c r="L43" s="2" t="s">
        <v>96</v>
      </c>
      <c r="M43" s="2" t="s">
        <v>41</v>
      </c>
      <c r="N43" s="18" t="s">
        <v>149</v>
      </c>
      <c r="Q43" s="21" t="s">
        <v>211</v>
      </c>
      <c r="R43" s="21" t="s">
        <v>212</v>
      </c>
      <c r="S43" s="23" t="s">
        <v>44</v>
      </c>
      <c r="V43" s="9">
        <v>12</v>
      </c>
      <c r="W43" s="4" t="s">
        <v>36</v>
      </c>
      <c r="X43" s="2" t="s">
        <v>133</v>
      </c>
      <c r="Y43" s="29" t="s">
        <v>86</v>
      </c>
      <c r="Z43" s="27">
        <v>0</v>
      </c>
      <c r="AA43" s="27">
        <f>Tabella1[[#This Row],[Importo stimato lotto  ]]</f>
        <v>250000</v>
      </c>
      <c r="AB43" s="27">
        <f>Tabella1[[#This Row],[Importo stimato lotto  ]]-Tabella1[[#This Row],[STIMA DEI COSTI DELL''ACQUISTO
Primo anno]]-Tabella1[[#This Row],[STIMA DEI COSTI DELL''ACQUISTO
Secondo anno]]</f>
        <v>0</v>
      </c>
      <c r="AC43" s="27">
        <f>Tabella1[[#This Row],[Importo stimato lotto  ]]*0.1</f>
        <v>25000</v>
      </c>
      <c r="AD43" s="4" t="s">
        <v>36</v>
      </c>
    </row>
    <row r="44" spans="1:30" s="2" customFormat="1" ht="24.95" customHeight="1" x14ac:dyDescent="0.25">
      <c r="A44" s="2" t="s">
        <v>30</v>
      </c>
      <c r="B44" s="3" t="s">
        <v>31</v>
      </c>
      <c r="H44" s="4" t="s">
        <v>32</v>
      </c>
      <c r="I44" s="17">
        <v>150000</v>
      </c>
      <c r="J44" s="4" t="s">
        <v>33</v>
      </c>
      <c r="L44" s="2" t="s">
        <v>96</v>
      </c>
      <c r="M44" s="2" t="s">
        <v>41</v>
      </c>
      <c r="N44" s="18" t="s">
        <v>150</v>
      </c>
      <c r="Q44" s="21" t="s">
        <v>211</v>
      </c>
      <c r="R44" s="21" t="s">
        <v>212</v>
      </c>
      <c r="S44" s="23" t="s">
        <v>44</v>
      </c>
      <c r="V44" s="9">
        <v>12</v>
      </c>
      <c r="W44" s="4" t="s">
        <v>36</v>
      </c>
      <c r="X44" s="2" t="s">
        <v>132</v>
      </c>
      <c r="Y44" s="29" t="s">
        <v>295</v>
      </c>
      <c r="Z44" s="27">
        <f>Tabella1[[#This Row],[Importo stimato lotto  ]]*6/12</f>
        <v>75000</v>
      </c>
      <c r="AA44" s="27">
        <f>Tabella1[[#This Row],[Importo stimato lotto  ]]*6/12</f>
        <v>75000</v>
      </c>
      <c r="AB44" s="27">
        <f>Tabella1[[#This Row],[Importo stimato lotto  ]]-Tabella1[[#This Row],[STIMA DEI COSTI DELL''ACQUISTO
Primo anno]]-Tabella1[[#This Row],[STIMA DEI COSTI DELL''ACQUISTO
Secondo anno]]</f>
        <v>0</v>
      </c>
      <c r="AC44" s="27">
        <f>Tabella1[[#This Row],[Importo stimato lotto  ]]*0.1</f>
        <v>15000</v>
      </c>
      <c r="AD44" s="4" t="s">
        <v>36</v>
      </c>
    </row>
    <row r="45" spans="1:30" s="2" customFormat="1" ht="24.95" customHeight="1" x14ac:dyDescent="0.25">
      <c r="A45" s="2" t="s">
        <v>30</v>
      </c>
      <c r="B45" s="3" t="s">
        <v>31</v>
      </c>
      <c r="H45" s="4" t="s">
        <v>32</v>
      </c>
      <c r="I45" s="17">
        <v>60000</v>
      </c>
      <c r="J45" s="4" t="s">
        <v>33</v>
      </c>
      <c r="L45" s="2" t="s">
        <v>96</v>
      </c>
      <c r="M45" s="2" t="s">
        <v>41</v>
      </c>
      <c r="N45" s="18" t="s">
        <v>151</v>
      </c>
      <c r="Q45" s="21" t="s">
        <v>211</v>
      </c>
      <c r="R45" s="21" t="s">
        <v>212</v>
      </c>
      <c r="S45" s="23" t="s">
        <v>44</v>
      </c>
      <c r="V45" s="9">
        <v>12</v>
      </c>
      <c r="W45" s="4" t="s">
        <v>36</v>
      </c>
      <c r="X45" s="2" t="s">
        <v>133</v>
      </c>
      <c r="Y45" s="29" t="s">
        <v>74</v>
      </c>
      <c r="Z45" s="27">
        <f>Tabella1[[#This Row],[Importo stimato lotto  ]]*9/12</f>
        <v>45000</v>
      </c>
      <c r="AA45" s="27">
        <f>Tabella1[[#This Row],[Importo stimato lotto  ]]*3/12</f>
        <v>15000</v>
      </c>
      <c r="AB45" s="27">
        <f>Tabella1[[#This Row],[Importo stimato lotto  ]]-Tabella1[[#This Row],[STIMA DEI COSTI DELL''ACQUISTO
Primo anno]]-Tabella1[[#This Row],[STIMA DEI COSTI DELL''ACQUISTO
Secondo anno]]</f>
        <v>0</v>
      </c>
      <c r="AC45" s="27">
        <f>Tabella1[[#This Row],[Importo stimato lotto  ]]*0.1</f>
        <v>6000</v>
      </c>
      <c r="AD45" s="4" t="s">
        <v>36</v>
      </c>
    </row>
    <row r="46" spans="1:30" s="2" customFormat="1" ht="24.95" customHeight="1" x14ac:dyDescent="0.25">
      <c r="A46" s="2" t="s">
        <v>30</v>
      </c>
      <c r="B46" s="3" t="s">
        <v>31</v>
      </c>
      <c r="H46" s="4" t="s">
        <v>32</v>
      </c>
      <c r="I46" s="17">
        <v>130000</v>
      </c>
      <c r="J46" s="4" t="s">
        <v>33</v>
      </c>
      <c r="L46" s="2" t="s">
        <v>96</v>
      </c>
      <c r="M46" s="2" t="s">
        <v>41</v>
      </c>
      <c r="N46" s="18" t="s">
        <v>46</v>
      </c>
      <c r="Q46" s="21" t="s">
        <v>211</v>
      </c>
      <c r="R46" s="21" t="s">
        <v>212</v>
      </c>
      <c r="S46" s="23" t="s">
        <v>44</v>
      </c>
      <c r="V46" s="9">
        <v>12</v>
      </c>
      <c r="W46" s="4" t="s">
        <v>36</v>
      </c>
      <c r="X46" s="2" t="s">
        <v>126</v>
      </c>
      <c r="Y46" s="29" t="s">
        <v>295</v>
      </c>
      <c r="Z46" s="27">
        <f>Tabella1[[#This Row],[Importo stimato lotto  ]]*6/12</f>
        <v>65000</v>
      </c>
      <c r="AA46" s="27">
        <f>Tabella1[[#This Row],[Importo stimato lotto  ]]*6/12</f>
        <v>65000</v>
      </c>
      <c r="AB46" s="27">
        <f>Tabella1[[#This Row],[Importo stimato lotto  ]]-Tabella1[[#This Row],[STIMA DEI COSTI DELL''ACQUISTO
Primo anno]]-Tabella1[[#This Row],[STIMA DEI COSTI DELL''ACQUISTO
Secondo anno]]</f>
        <v>0</v>
      </c>
      <c r="AC46" s="27">
        <f>Tabella1[[#This Row],[Importo stimato lotto  ]]*0.1</f>
        <v>13000</v>
      </c>
      <c r="AD46" s="4" t="s">
        <v>36</v>
      </c>
    </row>
    <row r="47" spans="1:30" s="2" customFormat="1" ht="24.95" customHeight="1" x14ac:dyDescent="0.25">
      <c r="A47" s="2" t="s">
        <v>30</v>
      </c>
      <c r="B47" s="3" t="s">
        <v>31</v>
      </c>
      <c r="H47" s="4" t="s">
        <v>32</v>
      </c>
      <c r="I47" s="17">
        <v>259000</v>
      </c>
      <c r="J47" s="4" t="s">
        <v>33</v>
      </c>
      <c r="L47" s="2" t="s">
        <v>96</v>
      </c>
      <c r="M47" s="2" t="s">
        <v>41</v>
      </c>
      <c r="N47" s="18" t="s">
        <v>152</v>
      </c>
      <c r="Q47" s="21" t="s">
        <v>211</v>
      </c>
      <c r="R47" s="21" t="s">
        <v>212</v>
      </c>
      <c r="S47" s="23" t="s">
        <v>44</v>
      </c>
      <c r="V47" s="9">
        <v>42</v>
      </c>
      <c r="W47" s="4" t="s">
        <v>36</v>
      </c>
      <c r="X47" s="2" t="s">
        <v>126</v>
      </c>
      <c r="Y47" s="29" t="s">
        <v>296</v>
      </c>
      <c r="Z47" s="27">
        <f>Tabella1[[#This Row],[Importo stimato lotto  ]]*7/42</f>
        <v>43166.666666666664</v>
      </c>
      <c r="AA47" s="27">
        <f>Tabella1[[#This Row],[Importo stimato lotto  ]]*12/42</f>
        <v>74000</v>
      </c>
      <c r="AB47" s="27">
        <f>Tabella1[[#This Row],[Importo stimato lotto  ]]-Tabella1[[#This Row],[STIMA DEI COSTI DELL''ACQUISTO
Primo anno]]-Tabella1[[#This Row],[STIMA DEI COSTI DELL''ACQUISTO
Secondo anno]]</f>
        <v>141833.33333333334</v>
      </c>
      <c r="AC47" s="27">
        <f>Tabella1[[#This Row],[Importo stimato lotto  ]]*0.1</f>
        <v>25900</v>
      </c>
      <c r="AD47" s="4" t="s">
        <v>36</v>
      </c>
    </row>
    <row r="48" spans="1:30" s="2" customFormat="1" ht="24.95" customHeight="1" x14ac:dyDescent="0.25">
      <c r="A48" s="2" t="s">
        <v>30</v>
      </c>
      <c r="B48" s="3" t="s">
        <v>31</v>
      </c>
      <c r="H48" s="4" t="s">
        <v>32</v>
      </c>
      <c r="I48" s="17">
        <v>262500</v>
      </c>
      <c r="J48" s="4" t="s">
        <v>33</v>
      </c>
      <c r="L48" s="2" t="s">
        <v>208</v>
      </c>
      <c r="M48" s="2" t="s">
        <v>41</v>
      </c>
      <c r="N48" s="18" t="s">
        <v>48</v>
      </c>
      <c r="Q48" s="21" t="s">
        <v>213</v>
      </c>
      <c r="R48" s="21" t="s">
        <v>214</v>
      </c>
      <c r="S48" s="23" t="s">
        <v>47</v>
      </c>
      <c r="V48" s="10">
        <v>36</v>
      </c>
      <c r="W48" s="4" t="s">
        <v>36</v>
      </c>
      <c r="X48" s="2" t="s">
        <v>132</v>
      </c>
      <c r="Y48" s="29" t="s">
        <v>86</v>
      </c>
      <c r="Z48" s="27">
        <v>0</v>
      </c>
      <c r="AA48" s="27">
        <f>Tabella1[[#This Row],[Importo stimato lotto  ]]/3</f>
        <v>87500</v>
      </c>
      <c r="AB48" s="27">
        <f>Tabella1[[#This Row],[Importo stimato lotto  ]]-Tabella1[[#This Row],[STIMA DEI COSTI DELL''ACQUISTO
Primo anno]]-Tabella1[[#This Row],[STIMA DEI COSTI DELL''ACQUISTO
Secondo anno]]</f>
        <v>175000</v>
      </c>
      <c r="AC48" s="27">
        <f>Tabella1[[#This Row],[Importo stimato lotto  ]]*0.1</f>
        <v>26250</v>
      </c>
      <c r="AD48" s="4" t="s">
        <v>36</v>
      </c>
    </row>
    <row r="49" spans="1:31" s="2" customFormat="1" ht="24.95" customHeight="1" x14ac:dyDescent="0.25">
      <c r="A49" s="2" t="s">
        <v>30</v>
      </c>
      <c r="B49" s="3" t="s">
        <v>31</v>
      </c>
      <c r="H49" s="4" t="s">
        <v>32</v>
      </c>
      <c r="I49" s="17">
        <v>262500</v>
      </c>
      <c r="J49" s="4" t="s">
        <v>33</v>
      </c>
      <c r="L49" s="2" t="s">
        <v>208</v>
      </c>
      <c r="M49" s="2" t="s">
        <v>41</v>
      </c>
      <c r="N49" s="18" t="s">
        <v>153</v>
      </c>
      <c r="Q49" s="21" t="s">
        <v>213</v>
      </c>
      <c r="R49" s="21" t="s">
        <v>214</v>
      </c>
      <c r="S49" s="23" t="s">
        <v>47</v>
      </c>
      <c r="V49" s="10">
        <v>36</v>
      </c>
      <c r="W49" s="4" t="s">
        <v>36</v>
      </c>
      <c r="X49" s="2" t="s">
        <v>132</v>
      </c>
      <c r="Y49" s="29" t="s">
        <v>86</v>
      </c>
      <c r="Z49" s="27">
        <v>0</v>
      </c>
      <c r="AA49" s="27">
        <f>Tabella1[[#This Row],[Importo stimato lotto  ]]/3</f>
        <v>87500</v>
      </c>
      <c r="AB49" s="27">
        <f>Tabella1[[#This Row],[Importo stimato lotto  ]]-Tabella1[[#This Row],[STIMA DEI COSTI DELL''ACQUISTO
Primo anno]]-Tabella1[[#This Row],[STIMA DEI COSTI DELL''ACQUISTO
Secondo anno]]</f>
        <v>175000</v>
      </c>
      <c r="AC49" s="27">
        <f>Tabella1[[#This Row],[Importo stimato lotto  ]]*0.1</f>
        <v>26250</v>
      </c>
      <c r="AD49" s="4" t="s">
        <v>36</v>
      </c>
    </row>
    <row r="50" spans="1:31" s="2" customFormat="1" ht="24.95" customHeight="1" x14ac:dyDescent="0.25">
      <c r="A50" s="2" t="s">
        <v>30</v>
      </c>
      <c r="B50" s="3" t="s">
        <v>31</v>
      </c>
      <c r="H50" s="4" t="s">
        <v>32</v>
      </c>
      <c r="I50" s="17">
        <v>262500</v>
      </c>
      <c r="J50" s="4" t="s">
        <v>33</v>
      </c>
      <c r="L50" s="2" t="s">
        <v>208</v>
      </c>
      <c r="M50" s="2" t="s">
        <v>41</v>
      </c>
      <c r="N50" s="18" t="s">
        <v>154</v>
      </c>
      <c r="Q50" s="21" t="s">
        <v>213</v>
      </c>
      <c r="R50" s="21" t="s">
        <v>214</v>
      </c>
      <c r="S50" s="23" t="s">
        <v>47</v>
      </c>
      <c r="V50" s="10">
        <v>36</v>
      </c>
      <c r="W50" s="4" t="s">
        <v>36</v>
      </c>
      <c r="X50" s="2" t="s">
        <v>132</v>
      </c>
      <c r="Y50" s="29" t="s">
        <v>86</v>
      </c>
      <c r="Z50" s="27">
        <v>0</v>
      </c>
      <c r="AA50" s="27">
        <f>Tabella1[[#This Row],[Importo stimato lotto  ]]/3</f>
        <v>87500</v>
      </c>
      <c r="AB50" s="27">
        <f>Tabella1[[#This Row],[Importo stimato lotto  ]]-Tabella1[[#This Row],[STIMA DEI COSTI DELL''ACQUISTO
Primo anno]]-Tabella1[[#This Row],[STIMA DEI COSTI DELL''ACQUISTO
Secondo anno]]</f>
        <v>175000</v>
      </c>
      <c r="AC50" s="27">
        <f>Tabella1[[#This Row],[Importo stimato lotto  ]]*0.1</f>
        <v>26250</v>
      </c>
      <c r="AD50" s="4" t="s">
        <v>36</v>
      </c>
    </row>
    <row r="51" spans="1:31" s="2" customFormat="1" ht="24.95" customHeight="1" x14ac:dyDescent="0.25">
      <c r="A51" s="2" t="s">
        <v>30</v>
      </c>
      <c r="B51" s="3" t="s">
        <v>31</v>
      </c>
      <c r="H51" s="4" t="s">
        <v>32</v>
      </c>
      <c r="I51" s="17">
        <v>315000</v>
      </c>
      <c r="J51" s="4" t="s">
        <v>33</v>
      </c>
      <c r="L51" s="2" t="s">
        <v>208</v>
      </c>
      <c r="M51" s="2" t="s">
        <v>41</v>
      </c>
      <c r="N51" s="18" t="s">
        <v>155</v>
      </c>
      <c r="Q51" s="21" t="s">
        <v>213</v>
      </c>
      <c r="R51" s="21" t="s">
        <v>214</v>
      </c>
      <c r="S51" s="23" t="s">
        <v>47</v>
      </c>
      <c r="V51" s="10">
        <v>36</v>
      </c>
      <c r="W51" s="4" t="s">
        <v>36</v>
      </c>
      <c r="X51" s="2" t="s">
        <v>132</v>
      </c>
      <c r="Y51" s="29" t="s">
        <v>86</v>
      </c>
      <c r="Z51" s="27">
        <v>0</v>
      </c>
      <c r="AA51" s="27">
        <f>Tabella1[[#This Row],[Importo stimato lotto  ]]/3</f>
        <v>105000</v>
      </c>
      <c r="AB51" s="27">
        <f>Tabella1[[#This Row],[Importo stimato lotto  ]]-Tabella1[[#This Row],[STIMA DEI COSTI DELL''ACQUISTO
Primo anno]]-Tabella1[[#This Row],[STIMA DEI COSTI DELL''ACQUISTO
Secondo anno]]</f>
        <v>210000</v>
      </c>
      <c r="AC51" s="27">
        <f>Tabella1[[#This Row],[Importo stimato lotto  ]]*0.1</f>
        <v>31500</v>
      </c>
      <c r="AD51" s="4" t="s">
        <v>36</v>
      </c>
    </row>
    <row r="52" spans="1:31" s="2" customFormat="1" ht="24.95" customHeight="1" x14ac:dyDescent="0.25">
      <c r="A52" s="2" t="s">
        <v>30</v>
      </c>
      <c r="B52" s="3" t="s">
        <v>31</v>
      </c>
      <c r="H52" s="4" t="s">
        <v>32</v>
      </c>
      <c r="I52" s="17">
        <v>367500</v>
      </c>
      <c r="J52" s="4" t="s">
        <v>33</v>
      </c>
      <c r="L52" s="2" t="s">
        <v>208</v>
      </c>
      <c r="M52" s="2" t="s">
        <v>41</v>
      </c>
      <c r="N52" s="18" t="s">
        <v>156</v>
      </c>
      <c r="Q52" s="21" t="s">
        <v>213</v>
      </c>
      <c r="R52" s="21" t="s">
        <v>214</v>
      </c>
      <c r="S52" s="23" t="s">
        <v>47</v>
      </c>
      <c r="V52" s="10">
        <v>48</v>
      </c>
      <c r="W52" s="4" t="s">
        <v>36</v>
      </c>
      <c r="X52" s="2" t="s">
        <v>132</v>
      </c>
      <c r="Y52" s="29" t="s">
        <v>74</v>
      </c>
      <c r="Z52" s="27">
        <f>Tabella1[[#This Row],[Importo stimato lotto  ]]*9/48</f>
        <v>68906.25</v>
      </c>
      <c r="AA52" s="27">
        <f>Tabella1[[#This Row],[Importo stimato lotto  ]]*12/48</f>
        <v>91875</v>
      </c>
      <c r="AB52" s="27">
        <f>Tabella1[[#This Row],[Importo stimato lotto  ]]-Tabella1[[#This Row],[STIMA DEI COSTI DELL''ACQUISTO
Primo anno]]-Tabella1[[#This Row],[STIMA DEI COSTI DELL''ACQUISTO
Secondo anno]]</f>
        <v>206718.75</v>
      </c>
      <c r="AC52" s="27">
        <f>Tabella1[[#This Row],[Importo stimato lotto  ]]*0.1</f>
        <v>36750</v>
      </c>
      <c r="AD52" s="4" t="s">
        <v>32</v>
      </c>
      <c r="AE52" s="4" t="s">
        <v>293</v>
      </c>
    </row>
    <row r="53" spans="1:31" s="2" customFormat="1" ht="24.95" customHeight="1" x14ac:dyDescent="0.25">
      <c r="A53" s="2" t="s">
        <v>30</v>
      </c>
      <c r="B53" s="3" t="s">
        <v>31</v>
      </c>
      <c r="H53" s="4" t="s">
        <v>32</v>
      </c>
      <c r="I53" s="17">
        <v>105000</v>
      </c>
      <c r="J53" s="4" t="s">
        <v>33</v>
      </c>
      <c r="L53" s="2" t="s">
        <v>208</v>
      </c>
      <c r="M53" s="2" t="s">
        <v>267</v>
      </c>
      <c r="N53" s="18" t="s">
        <v>157</v>
      </c>
      <c r="Q53" s="21" t="s">
        <v>213</v>
      </c>
      <c r="R53" s="21" t="s">
        <v>214</v>
      </c>
      <c r="S53" s="23" t="s">
        <v>47</v>
      </c>
      <c r="V53" s="10">
        <v>12</v>
      </c>
      <c r="W53" s="4" t="s">
        <v>36</v>
      </c>
      <c r="X53" s="2" t="s">
        <v>133</v>
      </c>
      <c r="Y53" s="29" t="s">
        <v>86</v>
      </c>
      <c r="Z53" s="27">
        <v>0</v>
      </c>
      <c r="AA53" s="27">
        <f>Tabella1[[#This Row],[Importo stimato lotto  ]]</f>
        <v>105000</v>
      </c>
      <c r="AB53" s="27">
        <f>Tabella1[[#This Row],[Importo stimato lotto  ]]-Tabella1[[#This Row],[STIMA DEI COSTI DELL''ACQUISTO
Primo anno]]-Tabella1[[#This Row],[STIMA DEI COSTI DELL''ACQUISTO
Secondo anno]]</f>
        <v>0</v>
      </c>
      <c r="AC53" s="27">
        <f>Tabella1[[#This Row],[Importo stimato lotto  ]]*0.1</f>
        <v>10500</v>
      </c>
      <c r="AD53" s="4" t="s">
        <v>36</v>
      </c>
    </row>
    <row r="54" spans="1:31" s="2" customFormat="1" ht="24.95" customHeight="1" x14ac:dyDescent="0.25">
      <c r="A54" s="2" t="s">
        <v>30</v>
      </c>
      <c r="B54" s="3" t="s">
        <v>31</v>
      </c>
      <c r="H54" s="4" t="s">
        <v>32</v>
      </c>
      <c r="I54" s="17">
        <v>210000</v>
      </c>
      <c r="J54" s="4" t="s">
        <v>33</v>
      </c>
      <c r="L54" s="2" t="s">
        <v>208</v>
      </c>
      <c r="M54" s="2" t="s">
        <v>267</v>
      </c>
      <c r="N54" s="18" t="s">
        <v>158</v>
      </c>
      <c r="Q54" s="21" t="s">
        <v>213</v>
      </c>
      <c r="R54" s="21" t="s">
        <v>214</v>
      </c>
      <c r="S54" s="23" t="s">
        <v>47</v>
      </c>
      <c r="V54" s="10">
        <v>36</v>
      </c>
      <c r="W54" s="4" t="s">
        <v>36</v>
      </c>
      <c r="X54" s="2" t="s">
        <v>132</v>
      </c>
      <c r="Y54" s="29" t="s">
        <v>86</v>
      </c>
      <c r="Z54" s="27">
        <v>0</v>
      </c>
      <c r="AA54" s="27">
        <f>Tabella1[[#This Row],[Importo stimato lotto  ]]/3</f>
        <v>70000</v>
      </c>
      <c r="AB54" s="27">
        <f>Tabella1[[#This Row],[Importo stimato lotto  ]]-Tabella1[[#This Row],[STIMA DEI COSTI DELL''ACQUISTO
Primo anno]]-Tabella1[[#This Row],[STIMA DEI COSTI DELL''ACQUISTO
Secondo anno]]</f>
        <v>140000</v>
      </c>
      <c r="AC54" s="27">
        <f>Tabella1[[#This Row],[Importo stimato lotto  ]]*0.1</f>
        <v>21000</v>
      </c>
      <c r="AD54" s="4" t="s">
        <v>36</v>
      </c>
    </row>
    <row r="55" spans="1:31" s="2" customFormat="1" ht="24.95" customHeight="1" x14ac:dyDescent="0.25">
      <c r="A55" s="2" t="s">
        <v>30</v>
      </c>
      <c r="B55" s="3" t="s">
        <v>31</v>
      </c>
      <c r="H55" s="4" t="s">
        <v>32</v>
      </c>
      <c r="I55" s="17">
        <v>367500</v>
      </c>
      <c r="J55" s="4" t="s">
        <v>33</v>
      </c>
      <c r="L55" s="2" t="s">
        <v>208</v>
      </c>
      <c r="M55" s="2" t="s">
        <v>41</v>
      </c>
      <c r="N55" s="18" t="s">
        <v>159</v>
      </c>
      <c r="Q55" s="21" t="s">
        <v>213</v>
      </c>
      <c r="R55" s="21" t="s">
        <v>214</v>
      </c>
      <c r="S55" s="23" t="s">
        <v>47</v>
      </c>
      <c r="V55" s="10">
        <v>36</v>
      </c>
      <c r="W55" s="4" t="s">
        <v>36</v>
      </c>
      <c r="X55" s="2" t="s">
        <v>133</v>
      </c>
      <c r="Y55" s="29" t="s">
        <v>86</v>
      </c>
      <c r="Z55" s="27">
        <v>0</v>
      </c>
      <c r="AA55" s="27">
        <f>Tabella1[[#This Row],[Importo stimato lotto  ]]/3</f>
        <v>122500</v>
      </c>
      <c r="AB55" s="27">
        <f>Tabella1[[#This Row],[Importo stimato lotto  ]]-Tabella1[[#This Row],[STIMA DEI COSTI DELL''ACQUISTO
Primo anno]]-Tabella1[[#This Row],[STIMA DEI COSTI DELL''ACQUISTO
Secondo anno]]</f>
        <v>245000</v>
      </c>
      <c r="AC55" s="27">
        <f>Tabella1[[#This Row],[Importo stimato lotto  ]]*0.1</f>
        <v>36750</v>
      </c>
      <c r="AD55" s="4" t="s">
        <v>36</v>
      </c>
    </row>
    <row r="56" spans="1:31" s="2" customFormat="1" ht="24.95" customHeight="1" x14ac:dyDescent="0.25">
      <c r="A56" s="2" t="s">
        <v>30</v>
      </c>
      <c r="B56" s="3" t="s">
        <v>31</v>
      </c>
      <c r="H56" s="4" t="s">
        <v>32</v>
      </c>
      <c r="I56" s="17">
        <v>630000</v>
      </c>
      <c r="J56" s="4" t="s">
        <v>33</v>
      </c>
      <c r="L56" s="2" t="s">
        <v>208</v>
      </c>
      <c r="M56" s="2" t="s">
        <v>267</v>
      </c>
      <c r="N56" s="18" t="s">
        <v>160</v>
      </c>
      <c r="Q56" s="21" t="s">
        <v>213</v>
      </c>
      <c r="R56" s="21" t="s">
        <v>214</v>
      </c>
      <c r="S56" s="23" t="s">
        <v>47</v>
      </c>
      <c r="V56" s="10">
        <v>60</v>
      </c>
      <c r="W56" s="4" t="s">
        <v>36</v>
      </c>
      <c r="X56" s="2" t="s">
        <v>126</v>
      </c>
      <c r="Y56" s="29" t="s">
        <v>74</v>
      </c>
      <c r="Z56" s="27">
        <f>Tabella1[[#This Row],[Importo stimato lotto  ]]*8/60</f>
        <v>84000</v>
      </c>
      <c r="AA56" s="27">
        <f>Tabella1[[#This Row],[Importo stimato lotto  ]]*12/60</f>
        <v>126000</v>
      </c>
      <c r="AB56" s="27">
        <f>Tabella1[[#This Row],[Importo stimato lotto  ]]-Tabella1[[#This Row],[STIMA DEI COSTI DELL''ACQUISTO
Primo anno]]-Tabella1[[#This Row],[STIMA DEI COSTI DELL''ACQUISTO
Secondo anno]]</f>
        <v>420000</v>
      </c>
      <c r="AC56" s="27">
        <f>Tabella1[[#This Row],[Importo stimato lotto  ]]*0.1</f>
        <v>63000</v>
      </c>
      <c r="AD56" s="4" t="s">
        <v>32</v>
      </c>
      <c r="AE56" s="4" t="s">
        <v>293</v>
      </c>
    </row>
    <row r="57" spans="1:31" s="2" customFormat="1" ht="24.95" customHeight="1" x14ac:dyDescent="0.25">
      <c r="A57" s="2" t="s">
        <v>30</v>
      </c>
      <c r="B57" s="3" t="s">
        <v>31</v>
      </c>
      <c r="H57" s="4" t="s">
        <v>32</v>
      </c>
      <c r="I57" s="17">
        <v>105000</v>
      </c>
      <c r="J57" s="4" t="s">
        <v>33</v>
      </c>
      <c r="L57" s="2" t="s">
        <v>208</v>
      </c>
      <c r="M57" s="2" t="s">
        <v>41</v>
      </c>
      <c r="N57" s="18" t="s">
        <v>161</v>
      </c>
      <c r="Q57" s="21" t="s">
        <v>213</v>
      </c>
      <c r="R57" s="21" t="s">
        <v>214</v>
      </c>
      <c r="S57" s="23" t="s">
        <v>47</v>
      </c>
      <c r="V57" s="10">
        <v>36</v>
      </c>
      <c r="W57" s="4" t="s">
        <v>36</v>
      </c>
      <c r="X57" s="2" t="s">
        <v>133</v>
      </c>
      <c r="Y57" s="29" t="s">
        <v>74</v>
      </c>
      <c r="Z57" s="27">
        <f>Tabella1[[#This Row],[Importo stimato lotto  ]]*8/36</f>
        <v>23333.333333333332</v>
      </c>
      <c r="AA57" s="27">
        <f>Tabella1[[#This Row],[Importo stimato lotto  ]]*12/36</f>
        <v>35000</v>
      </c>
      <c r="AB57" s="27">
        <f>Tabella1[[#This Row],[Importo stimato lotto  ]]-Tabella1[[#This Row],[STIMA DEI COSTI DELL''ACQUISTO
Primo anno]]-Tabella1[[#This Row],[STIMA DEI COSTI DELL''ACQUISTO
Secondo anno]]</f>
        <v>46666.666666666672</v>
      </c>
      <c r="AC57" s="27">
        <f>Tabella1[[#This Row],[Importo stimato lotto  ]]*0.1</f>
        <v>10500</v>
      </c>
      <c r="AD57" s="4" t="s">
        <v>32</v>
      </c>
      <c r="AE57" s="4" t="s">
        <v>293</v>
      </c>
    </row>
    <row r="58" spans="1:31" s="2" customFormat="1" ht="24.95" customHeight="1" x14ac:dyDescent="0.25">
      <c r="A58" s="2" t="s">
        <v>30</v>
      </c>
      <c r="B58" s="3" t="s">
        <v>31</v>
      </c>
      <c r="H58" s="4" t="s">
        <v>32</v>
      </c>
      <c r="I58" s="17">
        <v>210000</v>
      </c>
      <c r="J58" s="4" t="s">
        <v>33</v>
      </c>
      <c r="L58" s="2" t="s">
        <v>208</v>
      </c>
      <c r="M58" s="2" t="s">
        <v>41</v>
      </c>
      <c r="N58" s="18" t="s">
        <v>215</v>
      </c>
      <c r="Q58" s="21" t="s">
        <v>213</v>
      </c>
      <c r="R58" s="21" t="s">
        <v>214</v>
      </c>
      <c r="S58" s="23" t="s">
        <v>47</v>
      </c>
      <c r="V58" s="10">
        <v>36</v>
      </c>
      <c r="W58" s="4" t="s">
        <v>36</v>
      </c>
      <c r="X58" s="2" t="s">
        <v>133</v>
      </c>
      <c r="Y58" s="29" t="s">
        <v>74</v>
      </c>
      <c r="Z58" s="27">
        <f>Tabella1[[#This Row],[Importo stimato lotto  ]]*8/36</f>
        <v>46666.666666666664</v>
      </c>
      <c r="AA58" s="27">
        <f>Tabella1[[#This Row],[Importo stimato lotto  ]]*12/36</f>
        <v>70000</v>
      </c>
      <c r="AB58" s="27">
        <f>Tabella1[[#This Row],[Importo stimato lotto  ]]-Tabella1[[#This Row],[STIMA DEI COSTI DELL''ACQUISTO
Primo anno]]-Tabella1[[#This Row],[STIMA DEI COSTI DELL''ACQUISTO
Secondo anno]]</f>
        <v>93333.333333333343</v>
      </c>
      <c r="AC58" s="27">
        <f>Tabella1[[#This Row],[Importo stimato lotto  ]]*0.1</f>
        <v>21000</v>
      </c>
      <c r="AD58" s="4" t="s">
        <v>32</v>
      </c>
      <c r="AE58" s="4" t="s">
        <v>293</v>
      </c>
    </row>
    <row r="59" spans="1:31" s="2" customFormat="1" ht="24.95" customHeight="1" x14ac:dyDescent="0.25">
      <c r="A59" s="2" t="s">
        <v>30</v>
      </c>
      <c r="B59" s="3" t="s">
        <v>31</v>
      </c>
      <c r="H59" s="4" t="s">
        <v>32</v>
      </c>
      <c r="I59" s="17">
        <v>105000</v>
      </c>
      <c r="J59" s="4" t="s">
        <v>33</v>
      </c>
      <c r="L59" s="2" t="s">
        <v>208</v>
      </c>
      <c r="M59" s="2" t="s">
        <v>41</v>
      </c>
      <c r="N59" s="18" t="s">
        <v>162</v>
      </c>
      <c r="Q59" s="21" t="s">
        <v>213</v>
      </c>
      <c r="R59" s="21" t="s">
        <v>214</v>
      </c>
      <c r="S59" s="23" t="s">
        <v>47</v>
      </c>
      <c r="V59" s="10">
        <v>36</v>
      </c>
      <c r="W59" s="4" t="s">
        <v>36</v>
      </c>
      <c r="X59" s="2" t="s">
        <v>132</v>
      </c>
      <c r="Y59" s="29" t="s">
        <v>86</v>
      </c>
      <c r="Z59" s="27">
        <v>0</v>
      </c>
      <c r="AA59" s="27">
        <f>Tabella1[[#This Row],[Importo stimato lotto  ]]/3</f>
        <v>35000</v>
      </c>
      <c r="AB59" s="27">
        <f>Tabella1[[#This Row],[Importo stimato lotto  ]]-Tabella1[[#This Row],[STIMA DEI COSTI DELL''ACQUISTO
Primo anno]]-Tabella1[[#This Row],[STIMA DEI COSTI DELL''ACQUISTO
Secondo anno]]</f>
        <v>70000</v>
      </c>
      <c r="AC59" s="27">
        <f>Tabella1[[#This Row],[Importo stimato lotto  ]]*0.1</f>
        <v>10500</v>
      </c>
      <c r="AD59" s="4" t="s">
        <v>36</v>
      </c>
    </row>
    <row r="60" spans="1:31" s="2" customFormat="1" ht="24.95" customHeight="1" x14ac:dyDescent="0.25">
      <c r="A60" s="2" t="s">
        <v>30</v>
      </c>
      <c r="B60" s="3" t="s">
        <v>31</v>
      </c>
      <c r="H60" s="4" t="s">
        <v>32</v>
      </c>
      <c r="I60" s="17">
        <v>105000</v>
      </c>
      <c r="J60" s="4" t="s">
        <v>33</v>
      </c>
      <c r="L60" s="2" t="s">
        <v>208</v>
      </c>
      <c r="M60" s="2" t="s">
        <v>41</v>
      </c>
      <c r="N60" s="18" t="s">
        <v>163</v>
      </c>
      <c r="Q60" s="21" t="s">
        <v>213</v>
      </c>
      <c r="R60" s="21" t="s">
        <v>214</v>
      </c>
      <c r="S60" s="23" t="s">
        <v>47</v>
      </c>
      <c r="V60" s="10">
        <v>12</v>
      </c>
      <c r="W60" s="4" t="s">
        <v>36</v>
      </c>
      <c r="X60" s="2" t="s">
        <v>133</v>
      </c>
      <c r="Y60" s="29" t="s">
        <v>74</v>
      </c>
      <c r="Z60" s="27">
        <f>Tabella1[[#This Row],[Importo stimato lotto  ]]*8/12</f>
        <v>70000</v>
      </c>
      <c r="AA60" s="27">
        <f>Tabella1[[#This Row],[Importo stimato lotto  ]]*4/12</f>
        <v>35000</v>
      </c>
      <c r="AB60" s="27">
        <f>Tabella1[[#This Row],[Importo stimato lotto  ]]-Tabella1[[#This Row],[STIMA DEI COSTI DELL''ACQUISTO
Primo anno]]-Tabella1[[#This Row],[STIMA DEI COSTI DELL''ACQUISTO
Secondo anno]]</f>
        <v>0</v>
      </c>
      <c r="AC60" s="27">
        <f>Tabella1[[#This Row],[Importo stimato lotto  ]]*0.1</f>
        <v>10500</v>
      </c>
      <c r="AD60" s="4" t="s">
        <v>32</v>
      </c>
      <c r="AE60" s="4" t="s">
        <v>293</v>
      </c>
    </row>
    <row r="61" spans="1:31" s="2" customFormat="1" ht="24.95" customHeight="1" x14ac:dyDescent="0.25">
      <c r="A61" s="2" t="s">
        <v>30</v>
      </c>
      <c r="B61" s="3" t="s">
        <v>31</v>
      </c>
      <c r="H61" s="4" t="s">
        <v>32</v>
      </c>
      <c r="I61" s="17">
        <v>84000</v>
      </c>
      <c r="J61" s="4" t="s">
        <v>33</v>
      </c>
      <c r="L61" s="2" t="s">
        <v>208</v>
      </c>
      <c r="M61" s="2" t="s">
        <v>41</v>
      </c>
      <c r="N61" s="18" t="s">
        <v>164</v>
      </c>
      <c r="Q61" s="21" t="s">
        <v>213</v>
      </c>
      <c r="R61" s="21" t="s">
        <v>214</v>
      </c>
      <c r="S61" s="23" t="s">
        <v>47</v>
      </c>
      <c r="V61" s="10">
        <v>12</v>
      </c>
      <c r="W61" s="4" t="s">
        <v>36</v>
      </c>
      <c r="X61" s="2" t="s">
        <v>133</v>
      </c>
      <c r="Y61" s="29" t="s">
        <v>74</v>
      </c>
      <c r="Z61" s="27">
        <f>Tabella1[[#This Row],[Importo stimato lotto  ]]*8/12</f>
        <v>56000</v>
      </c>
      <c r="AA61" s="27">
        <f>Tabella1[[#This Row],[Importo stimato lotto  ]]*4/12</f>
        <v>28000</v>
      </c>
      <c r="AB61" s="27">
        <f>Tabella1[[#This Row],[Importo stimato lotto  ]]-Tabella1[[#This Row],[STIMA DEI COSTI DELL''ACQUISTO
Primo anno]]-Tabella1[[#This Row],[STIMA DEI COSTI DELL''ACQUISTO
Secondo anno]]</f>
        <v>0</v>
      </c>
      <c r="AC61" s="27">
        <f>Tabella1[[#This Row],[Importo stimato lotto  ]]*0.1</f>
        <v>8400</v>
      </c>
      <c r="AD61" s="4" t="s">
        <v>32</v>
      </c>
      <c r="AE61" s="4" t="s">
        <v>293</v>
      </c>
    </row>
    <row r="62" spans="1:31" s="2" customFormat="1" ht="24.95" customHeight="1" x14ac:dyDescent="0.25">
      <c r="A62" s="2" t="s">
        <v>30</v>
      </c>
      <c r="B62" s="3" t="s">
        <v>31</v>
      </c>
      <c r="H62" s="4" t="s">
        <v>32</v>
      </c>
      <c r="I62" s="17">
        <v>52500</v>
      </c>
      <c r="J62" s="4" t="s">
        <v>33</v>
      </c>
      <c r="L62" s="2" t="s">
        <v>208</v>
      </c>
      <c r="M62" s="2" t="s">
        <v>41</v>
      </c>
      <c r="N62" s="18" t="s">
        <v>165</v>
      </c>
      <c r="Q62" s="21" t="s">
        <v>213</v>
      </c>
      <c r="R62" s="21" t="s">
        <v>214</v>
      </c>
      <c r="S62" s="23" t="s">
        <v>47</v>
      </c>
      <c r="V62" s="10">
        <v>12</v>
      </c>
      <c r="W62" s="4" t="s">
        <v>36</v>
      </c>
      <c r="X62" s="2" t="s">
        <v>133</v>
      </c>
      <c r="Y62" s="29" t="s">
        <v>74</v>
      </c>
      <c r="Z62" s="27">
        <f>Tabella1[[#This Row],[Importo stimato lotto  ]]*8/12</f>
        <v>35000</v>
      </c>
      <c r="AA62" s="27">
        <f>Tabella1[[#This Row],[Importo stimato lotto  ]]*4/12</f>
        <v>17500</v>
      </c>
      <c r="AB62" s="27">
        <f>Tabella1[[#This Row],[Importo stimato lotto  ]]-Tabella1[[#This Row],[STIMA DEI COSTI DELL''ACQUISTO
Primo anno]]-Tabella1[[#This Row],[STIMA DEI COSTI DELL''ACQUISTO
Secondo anno]]</f>
        <v>0</v>
      </c>
      <c r="AC62" s="27">
        <f>Tabella1[[#This Row],[Importo stimato lotto  ]]*0.1</f>
        <v>5250</v>
      </c>
      <c r="AD62" s="4" t="s">
        <v>36</v>
      </c>
    </row>
    <row r="63" spans="1:31" s="2" customFormat="1" ht="24.95" customHeight="1" x14ac:dyDescent="0.25">
      <c r="A63" s="2" t="s">
        <v>30</v>
      </c>
      <c r="B63" s="3" t="s">
        <v>31</v>
      </c>
      <c r="H63" s="4" t="s">
        <v>32</v>
      </c>
      <c r="I63" s="17">
        <v>105000</v>
      </c>
      <c r="J63" s="4" t="s">
        <v>33</v>
      </c>
      <c r="L63" s="2" t="s">
        <v>96</v>
      </c>
      <c r="M63" s="2" t="s">
        <v>41</v>
      </c>
      <c r="N63" s="18" t="s">
        <v>166</v>
      </c>
      <c r="Q63" s="21" t="s">
        <v>213</v>
      </c>
      <c r="R63" s="21" t="s">
        <v>214</v>
      </c>
      <c r="S63" s="23" t="s">
        <v>47</v>
      </c>
      <c r="V63" s="10">
        <v>12</v>
      </c>
      <c r="W63" s="4" t="s">
        <v>36</v>
      </c>
      <c r="X63" s="2" t="s">
        <v>126</v>
      </c>
      <c r="Y63" s="29" t="s">
        <v>86</v>
      </c>
      <c r="Z63" s="27"/>
      <c r="AA63" s="27"/>
      <c r="AB63" s="27">
        <f>Tabella1[[#This Row],[Importo stimato lotto  ]]-Tabella1[[#This Row],[STIMA DEI COSTI DELL''ACQUISTO
Primo anno]]-Tabella1[[#This Row],[STIMA DEI COSTI DELL''ACQUISTO
Secondo anno]]</f>
        <v>105000</v>
      </c>
      <c r="AC63" s="27">
        <f>Tabella1[[#This Row],[Importo stimato lotto  ]]*0.1</f>
        <v>10500</v>
      </c>
      <c r="AD63" s="4" t="s">
        <v>36</v>
      </c>
    </row>
    <row r="64" spans="1:31" s="2" customFormat="1" ht="24.95" customHeight="1" x14ac:dyDescent="0.25">
      <c r="A64" s="2" t="s">
        <v>30</v>
      </c>
      <c r="B64" s="3" t="s">
        <v>31</v>
      </c>
      <c r="H64" s="4" t="s">
        <v>32</v>
      </c>
      <c r="I64" s="17">
        <v>52500</v>
      </c>
      <c r="J64" s="4" t="s">
        <v>33</v>
      </c>
      <c r="L64" s="2" t="s">
        <v>96</v>
      </c>
      <c r="M64" s="2" t="s">
        <v>41</v>
      </c>
      <c r="N64" s="18" t="s">
        <v>167</v>
      </c>
      <c r="Q64" s="21" t="s">
        <v>213</v>
      </c>
      <c r="R64" s="21" t="s">
        <v>214</v>
      </c>
      <c r="S64" s="23" t="s">
        <v>47</v>
      </c>
      <c r="V64" s="10">
        <v>12</v>
      </c>
      <c r="W64" s="4" t="s">
        <v>36</v>
      </c>
      <c r="X64" s="2" t="s">
        <v>126</v>
      </c>
      <c r="Y64" s="29" t="s">
        <v>86</v>
      </c>
      <c r="Z64" s="27"/>
      <c r="AA64" s="27"/>
      <c r="AB64" s="27">
        <f>Tabella1[[#This Row],[Importo stimato lotto  ]]-Tabella1[[#This Row],[STIMA DEI COSTI DELL''ACQUISTO
Primo anno]]-Tabella1[[#This Row],[STIMA DEI COSTI DELL''ACQUISTO
Secondo anno]]</f>
        <v>52500</v>
      </c>
      <c r="AC64" s="27">
        <f>Tabella1[[#This Row],[Importo stimato lotto  ]]*0.1</f>
        <v>5250</v>
      </c>
      <c r="AD64" s="4" t="s">
        <v>36</v>
      </c>
    </row>
    <row r="65" spans="1:31" s="2" customFormat="1" ht="24.95" customHeight="1" x14ac:dyDescent="0.25">
      <c r="A65" s="2" t="s">
        <v>30</v>
      </c>
      <c r="B65" s="3" t="s">
        <v>31</v>
      </c>
      <c r="H65" s="4" t="s">
        <v>32</v>
      </c>
      <c r="I65" s="17">
        <v>210000</v>
      </c>
      <c r="J65" s="4" t="s">
        <v>33</v>
      </c>
      <c r="L65" s="2" t="s">
        <v>96</v>
      </c>
      <c r="M65" s="2" t="s">
        <v>41</v>
      </c>
      <c r="N65" s="18" t="s">
        <v>168</v>
      </c>
      <c r="Q65" s="21" t="s">
        <v>213</v>
      </c>
      <c r="R65" s="21" t="s">
        <v>214</v>
      </c>
      <c r="S65" s="23" t="s">
        <v>47</v>
      </c>
      <c r="V65" s="10">
        <v>12</v>
      </c>
      <c r="W65" s="4" t="s">
        <v>36</v>
      </c>
      <c r="X65" s="2" t="s">
        <v>126</v>
      </c>
      <c r="Y65" s="29" t="s">
        <v>74</v>
      </c>
      <c r="Z65" s="27">
        <f>Tabella1[[#This Row],[Importo stimato lotto  ]]*8/12</f>
        <v>140000</v>
      </c>
      <c r="AA65" s="27">
        <f>Tabella1[[#This Row],[Importo stimato lotto  ]]*4/12</f>
        <v>70000</v>
      </c>
      <c r="AB65" s="27">
        <f>Tabella1[[#This Row],[Importo stimato lotto  ]]-Tabella1[[#This Row],[STIMA DEI COSTI DELL''ACQUISTO
Primo anno]]-Tabella1[[#This Row],[STIMA DEI COSTI DELL''ACQUISTO
Secondo anno]]</f>
        <v>0</v>
      </c>
      <c r="AC65" s="27">
        <f>Tabella1[[#This Row],[Importo stimato lotto  ]]*0.1</f>
        <v>21000</v>
      </c>
      <c r="AD65" s="4" t="s">
        <v>36</v>
      </c>
    </row>
    <row r="66" spans="1:31" s="2" customFormat="1" ht="24.95" customHeight="1" x14ac:dyDescent="0.25">
      <c r="A66" s="2" t="s">
        <v>30</v>
      </c>
      <c r="B66" s="3" t="s">
        <v>31</v>
      </c>
      <c r="H66" s="4" t="s">
        <v>32</v>
      </c>
      <c r="I66" s="17">
        <v>315000</v>
      </c>
      <c r="J66" s="4" t="s">
        <v>33</v>
      </c>
      <c r="L66" s="2" t="s">
        <v>96</v>
      </c>
      <c r="M66" s="2" t="s">
        <v>41</v>
      </c>
      <c r="N66" s="18" t="s">
        <v>169</v>
      </c>
      <c r="Q66" s="21" t="s">
        <v>213</v>
      </c>
      <c r="R66" s="21" t="s">
        <v>214</v>
      </c>
      <c r="S66" s="23" t="s">
        <v>47</v>
      </c>
      <c r="V66" s="10">
        <v>12</v>
      </c>
      <c r="W66" s="4" t="s">
        <v>36</v>
      </c>
      <c r="X66" s="2" t="s">
        <v>133</v>
      </c>
      <c r="Y66" s="29" t="s">
        <v>74</v>
      </c>
      <c r="Z66" s="27">
        <f>Tabella1[[#This Row],[Importo stimato lotto  ]]*8/12</f>
        <v>210000</v>
      </c>
      <c r="AA66" s="27">
        <f>Tabella1[[#This Row],[Importo stimato lotto  ]]*4/12</f>
        <v>105000</v>
      </c>
      <c r="AB66" s="27">
        <f>Tabella1[[#This Row],[Importo stimato lotto  ]]-Tabella1[[#This Row],[STIMA DEI COSTI DELL''ACQUISTO
Primo anno]]-Tabella1[[#This Row],[STIMA DEI COSTI DELL''ACQUISTO
Secondo anno]]</f>
        <v>0</v>
      </c>
      <c r="AC66" s="27">
        <f>Tabella1[[#This Row],[Importo stimato lotto  ]]*0.1</f>
        <v>31500</v>
      </c>
      <c r="AD66" s="4" t="s">
        <v>32</v>
      </c>
      <c r="AE66" s="4" t="s">
        <v>293</v>
      </c>
    </row>
    <row r="67" spans="1:31" s="2" customFormat="1" ht="24.95" customHeight="1" x14ac:dyDescent="0.25">
      <c r="A67" s="2" t="s">
        <v>30</v>
      </c>
      <c r="B67" s="3" t="s">
        <v>31</v>
      </c>
      <c r="H67" s="4" t="s">
        <v>32</v>
      </c>
      <c r="I67" s="17">
        <v>105000</v>
      </c>
      <c r="J67" s="4" t="s">
        <v>33</v>
      </c>
      <c r="L67" s="2" t="s">
        <v>96</v>
      </c>
      <c r="M67" s="2" t="s">
        <v>41</v>
      </c>
      <c r="N67" s="18" t="s">
        <v>170</v>
      </c>
      <c r="Q67" s="21" t="s">
        <v>213</v>
      </c>
      <c r="R67" s="21" t="s">
        <v>214</v>
      </c>
      <c r="S67" s="23" t="s">
        <v>47</v>
      </c>
      <c r="V67" s="10">
        <v>12</v>
      </c>
      <c r="W67" s="4" t="s">
        <v>36</v>
      </c>
      <c r="X67" s="2" t="s">
        <v>133</v>
      </c>
      <c r="Y67" s="29" t="s">
        <v>86</v>
      </c>
      <c r="Z67" s="27">
        <v>0</v>
      </c>
      <c r="AA67" s="27">
        <f>Tabella1[[#This Row],[Importo stimato lotto  ]]</f>
        <v>105000</v>
      </c>
      <c r="AB67" s="27">
        <f>Tabella1[[#This Row],[Importo stimato lotto  ]]-Tabella1[[#This Row],[STIMA DEI COSTI DELL''ACQUISTO
Primo anno]]-Tabella1[[#This Row],[STIMA DEI COSTI DELL''ACQUISTO
Secondo anno]]</f>
        <v>0</v>
      </c>
      <c r="AC67" s="27">
        <f>Tabella1[[#This Row],[Importo stimato lotto  ]]*0.1</f>
        <v>10500</v>
      </c>
      <c r="AD67" s="4" t="s">
        <v>36</v>
      </c>
    </row>
    <row r="68" spans="1:31" s="2" customFormat="1" ht="24.95" customHeight="1" x14ac:dyDescent="0.25">
      <c r="A68" s="2" t="s">
        <v>30</v>
      </c>
      <c r="B68" s="3" t="s">
        <v>31</v>
      </c>
      <c r="H68" s="4" t="s">
        <v>32</v>
      </c>
      <c r="I68" s="17">
        <v>63000</v>
      </c>
      <c r="J68" s="4" t="s">
        <v>33</v>
      </c>
      <c r="L68" s="2" t="s">
        <v>96</v>
      </c>
      <c r="M68" s="2" t="s">
        <v>41</v>
      </c>
      <c r="N68" s="18" t="s">
        <v>171</v>
      </c>
      <c r="Q68" s="21" t="s">
        <v>213</v>
      </c>
      <c r="R68" s="21" t="s">
        <v>214</v>
      </c>
      <c r="S68" s="23" t="s">
        <v>47</v>
      </c>
      <c r="V68" s="10">
        <v>12</v>
      </c>
      <c r="W68" s="4" t="s">
        <v>36</v>
      </c>
      <c r="X68" s="2" t="s">
        <v>133</v>
      </c>
      <c r="Y68" s="29" t="s">
        <v>74</v>
      </c>
      <c r="Z68" s="27">
        <v>0</v>
      </c>
      <c r="AA68" s="27">
        <f>Tabella1[[#This Row],[Importo stimato lotto  ]]</f>
        <v>63000</v>
      </c>
      <c r="AB68" s="27">
        <f>Tabella1[[#This Row],[Importo stimato lotto  ]]-Tabella1[[#This Row],[STIMA DEI COSTI DELL''ACQUISTO
Primo anno]]-Tabella1[[#This Row],[STIMA DEI COSTI DELL''ACQUISTO
Secondo anno]]</f>
        <v>0</v>
      </c>
      <c r="AC68" s="27">
        <f>Tabella1[[#This Row],[Importo stimato lotto  ]]*0.1</f>
        <v>6300</v>
      </c>
      <c r="AD68" s="4" t="s">
        <v>36</v>
      </c>
    </row>
    <row r="69" spans="1:31" s="2" customFormat="1" ht="24.95" customHeight="1" x14ac:dyDescent="0.25">
      <c r="A69" s="2" t="s">
        <v>30</v>
      </c>
      <c r="B69" s="3" t="s">
        <v>31</v>
      </c>
      <c r="H69" s="4" t="s">
        <v>32</v>
      </c>
      <c r="I69" s="17">
        <v>84000</v>
      </c>
      <c r="J69" s="4" t="s">
        <v>33</v>
      </c>
      <c r="L69" s="2" t="s">
        <v>96</v>
      </c>
      <c r="M69" s="2" t="s">
        <v>41</v>
      </c>
      <c r="N69" s="18" t="s">
        <v>172</v>
      </c>
      <c r="Q69" s="21" t="s">
        <v>213</v>
      </c>
      <c r="R69" s="21" t="s">
        <v>214</v>
      </c>
      <c r="S69" s="23" t="s">
        <v>47</v>
      </c>
      <c r="V69" s="10">
        <v>12</v>
      </c>
      <c r="W69" s="4" t="s">
        <v>36</v>
      </c>
      <c r="X69" s="2" t="s">
        <v>126</v>
      </c>
      <c r="Y69" s="29" t="s">
        <v>74</v>
      </c>
      <c r="Z69" s="27">
        <f>Tabella1[[#This Row],[Importo stimato lotto  ]]*8/12</f>
        <v>56000</v>
      </c>
      <c r="AA69" s="27">
        <f>Tabella1[[#This Row],[Importo stimato lotto  ]]*4/12</f>
        <v>28000</v>
      </c>
      <c r="AB69" s="27">
        <f>Tabella1[[#This Row],[Importo stimato lotto  ]]-Tabella1[[#This Row],[STIMA DEI COSTI DELL''ACQUISTO
Primo anno]]-Tabella1[[#This Row],[STIMA DEI COSTI DELL''ACQUISTO
Secondo anno]]</f>
        <v>0</v>
      </c>
      <c r="AC69" s="27">
        <f>Tabella1[[#This Row],[Importo stimato lotto  ]]*0.1</f>
        <v>8400</v>
      </c>
      <c r="AD69" s="4" t="s">
        <v>36</v>
      </c>
    </row>
    <row r="70" spans="1:31" s="2" customFormat="1" ht="24.95" customHeight="1" x14ac:dyDescent="0.25">
      <c r="A70" s="2" t="s">
        <v>30</v>
      </c>
      <c r="B70" s="3" t="s">
        <v>31</v>
      </c>
      <c r="H70" s="4" t="s">
        <v>32</v>
      </c>
      <c r="I70" s="17">
        <v>3150000</v>
      </c>
      <c r="J70" s="4" t="s">
        <v>33</v>
      </c>
      <c r="L70" s="2" t="s">
        <v>96</v>
      </c>
      <c r="M70" s="2" t="s">
        <v>41</v>
      </c>
      <c r="N70" s="18" t="s">
        <v>173</v>
      </c>
      <c r="Q70" s="21" t="s">
        <v>213</v>
      </c>
      <c r="R70" s="21" t="s">
        <v>214</v>
      </c>
      <c r="S70" s="23" t="s">
        <v>47</v>
      </c>
      <c r="V70" s="10">
        <v>36</v>
      </c>
      <c r="W70" s="4" t="s">
        <v>36</v>
      </c>
      <c r="X70" s="2" t="s">
        <v>126</v>
      </c>
      <c r="Y70" s="29" t="s">
        <v>74</v>
      </c>
      <c r="Z70" s="27">
        <f>Tabella1[[#This Row],[Importo stimato lotto  ]]*8/36</f>
        <v>700000</v>
      </c>
      <c r="AA70" s="27">
        <f>Tabella1[[#This Row],[Importo stimato lotto  ]]*12/36</f>
        <v>1050000</v>
      </c>
      <c r="AB70" s="27">
        <f>Tabella1[[#This Row],[Importo stimato lotto  ]]-Tabella1[[#This Row],[STIMA DEI COSTI DELL''ACQUISTO
Primo anno]]-Tabella1[[#This Row],[STIMA DEI COSTI DELL''ACQUISTO
Secondo anno]]</f>
        <v>1400000</v>
      </c>
      <c r="AC70" s="27">
        <f>Tabella1[[#This Row],[Importo stimato lotto  ]]*0.1</f>
        <v>315000</v>
      </c>
      <c r="AD70" s="4" t="s">
        <v>32</v>
      </c>
      <c r="AE70" s="4" t="s">
        <v>293</v>
      </c>
    </row>
    <row r="71" spans="1:31" s="2" customFormat="1" ht="24.95" customHeight="1" x14ac:dyDescent="0.25">
      <c r="A71" s="2" t="s">
        <v>30</v>
      </c>
      <c r="B71" s="3" t="s">
        <v>31</v>
      </c>
      <c r="H71" s="4" t="s">
        <v>32</v>
      </c>
      <c r="I71" s="17">
        <v>210000</v>
      </c>
      <c r="J71" s="4" t="s">
        <v>33</v>
      </c>
      <c r="L71" s="2" t="s">
        <v>96</v>
      </c>
      <c r="M71" s="2" t="s">
        <v>41</v>
      </c>
      <c r="N71" s="18" t="s">
        <v>174</v>
      </c>
      <c r="Q71" s="21" t="s">
        <v>213</v>
      </c>
      <c r="R71" s="21" t="s">
        <v>214</v>
      </c>
      <c r="S71" s="23" t="s">
        <v>47</v>
      </c>
      <c r="V71" s="10">
        <v>48</v>
      </c>
      <c r="W71" s="4" t="s">
        <v>36</v>
      </c>
      <c r="X71" s="2" t="s">
        <v>126</v>
      </c>
      <c r="Y71" s="29" t="s">
        <v>86</v>
      </c>
      <c r="Z71" s="27">
        <v>0</v>
      </c>
      <c r="AA71" s="27">
        <f>Tabella1[[#This Row],[Importo stimato lotto  ]]/4</f>
        <v>52500</v>
      </c>
      <c r="AB71" s="27">
        <f>Tabella1[[#This Row],[Importo stimato lotto  ]]-Tabella1[[#This Row],[STIMA DEI COSTI DELL''ACQUISTO
Primo anno]]-Tabella1[[#This Row],[STIMA DEI COSTI DELL''ACQUISTO
Secondo anno]]</f>
        <v>157500</v>
      </c>
      <c r="AC71" s="27">
        <f>Tabella1[[#This Row],[Importo stimato lotto  ]]*0.1</f>
        <v>21000</v>
      </c>
      <c r="AD71" s="4" t="s">
        <v>36</v>
      </c>
    </row>
    <row r="72" spans="1:31" s="2" customFormat="1" ht="24.95" customHeight="1" x14ac:dyDescent="0.25">
      <c r="A72" s="2" t="s">
        <v>30</v>
      </c>
      <c r="B72" s="3" t="s">
        <v>31</v>
      </c>
      <c r="H72" s="4" t="s">
        <v>32</v>
      </c>
      <c r="I72" s="17">
        <v>367500</v>
      </c>
      <c r="J72" s="4" t="s">
        <v>33</v>
      </c>
      <c r="L72" s="2" t="s">
        <v>96</v>
      </c>
      <c r="M72" s="2" t="s">
        <v>268</v>
      </c>
      <c r="N72" s="18" t="s">
        <v>175</v>
      </c>
      <c r="Q72" s="21" t="s">
        <v>213</v>
      </c>
      <c r="R72" s="21" t="s">
        <v>214</v>
      </c>
      <c r="S72" s="23" t="s">
        <v>47</v>
      </c>
      <c r="V72" s="10">
        <v>36</v>
      </c>
      <c r="W72" s="4" t="s">
        <v>36</v>
      </c>
      <c r="X72" s="2" t="s">
        <v>126</v>
      </c>
      <c r="Y72" s="29" t="s">
        <v>296</v>
      </c>
      <c r="Z72" s="27">
        <f>Tabella1[[#This Row],[Importo stimato lotto  ]]*6/36</f>
        <v>61250</v>
      </c>
      <c r="AA72" s="27">
        <f>Tabella1[[#This Row],[Importo stimato lotto  ]]*12/36</f>
        <v>122500</v>
      </c>
      <c r="AB72" s="27">
        <f>Tabella1[[#This Row],[Importo stimato lotto  ]]-Tabella1[[#This Row],[STIMA DEI COSTI DELL''ACQUISTO
Primo anno]]-Tabella1[[#This Row],[STIMA DEI COSTI DELL''ACQUISTO
Secondo anno]]</f>
        <v>183750</v>
      </c>
      <c r="AC72" s="27">
        <f>Tabella1[[#This Row],[Importo stimato lotto  ]]*0.1</f>
        <v>36750</v>
      </c>
      <c r="AD72" s="4" t="s">
        <v>32</v>
      </c>
      <c r="AE72" s="4" t="s">
        <v>293</v>
      </c>
    </row>
    <row r="73" spans="1:31" s="2" customFormat="1" ht="24.95" customHeight="1" x14ac:dyDescent="0.25">
      <c r="A73" s="2" t="s">
        <v>30</v>
      </c>
      <c r="B73" s="3" t="s">
        <v>31</v>
      </c>
      <c r="H73" s="4" t="s">
        <v>32</v>
      </c>
      <c r="I73" s="17">
        <v>367500</v>
      </c>
      <c r="J73" s="4" t="s">
        <v>33</v>
      </c>
      <c r="L73" s="2" t="s">
        <v>96</v>
      </c>
      <c r="M73" s="2" t="s">
        <v>268</v>
      </c>
      <c r="N73" s="18" t="s">
        <v>176</v>
      </c>
      <c r="Q73" s="21" t="s">
        <v>213</v>
      </c>
      <c r="R73" s="21" t="s">
        <v>214</v>
      </c>
      <c r="S73" s="23" t="s">
        <v>47</v>
      </c>
      <c r="V73" s="10">
        <v>24</v>
      </c>
      <c r="W73" s="4" t="s">
        <v>36</v>
      </c>
      <c r="X73" s="2" t="s">
        <v>126</v>
      </c>
      <c r="Y73" s="29" t="s">
        <v>297</v>
      </c>
      <c r="Z73" s="27">
        <f>Tabella1[[#This Row],[Importo stimato lotto  ]]*1/24</f>
        <v>15312.5</v>
      </c>
      <c r="AA73" s="27">
        <f>Tabella1[[#This Row],[Importo stimato lotto  ]]*12/24</f>
        <v>183750</v>
      </c>
      <c r="AB73" s="27">
        <f>Tabella1[[#This Row],[Importo stimato lotto  ]]-Tabella1[[#This Row],[STIMA DEI COSTI DELL''ACQUISTO
Primo anno]]-Tabella1[[#This Row],[STIMA DEI COSTI DELL''ACQUISTO
Secondo anno]]</f>
        <v>168437.5</v>
      </c>
      <c r="AC73" s="27">
        <f>Tabella1[[#This Row],[Importo stimato lotto  ]]*0.1</f>
        <v>36750</v>
      </c>
      <c r="AD73" s="4" t="s">
        <v>32</v>
      </c>
      <c r="AE73" s="4" t="s">
        <v>293</v>
      </c>
    </row>
    <row r="74" spans="1:31" s="2" customFormat="1" ht="24.95" customHeight="1" x14ac:dyDescent="0.25">
      <c r="A74" s="2" t="s">
        <v>30</v>
      </c>
      <c r="B74" s="3" t="s">
        <v>31</v>
      </c>
      <c r="H74" s="4" t="s">
        <v>32</v>
      </c>
      <c r="I74" s="17">
        <v>367500</v>
      </c>
      <c r="J74" s="4" t="s">
        <v>33</v>
      </c>
      <c r="L74" s="2" t="s">
        <v>96</v>
      </c>
      <c r="M74" s="2" t="s">
        <v>270</v>
      </c>
      <c r="N74" s="18" t="s">
        <v>177</v>
      </c>
      <c r="Q74" s="21" t="s">
        <v>213</v>
      </c>
      <c r="R74" s="21" t="s">
        <v>214</v>
      </c>
      <c r="S74" s="23" t="s">
        <v>47</v>
      </c>
      <c r="V74" s="10">
        <v>48</v>
      </c>
      <c r="W74" s="4" t="s">
        <v>36</v>
      </c>
      <c r="X74" s="2" t="s">
        <v>126</v>
      </c>
      <c r="Y74" s="29" t="s">
        <v>72</v>
      </c>
      <c r="Z74" s="27">
        <f>Tabella1[[#This Row],[Importo stimato lotto  ]]*4/48</f>
        <v>30625</v>
      </c>
      <c r="AA74" s="27">
        <f>Tabella1[[#This Row],[Importo stimato lotto  ]]*12/48</f>
        <v>91875</v>
      </c>
      <c r="AB74" s="27">
        <f>Tabella1[[#This Row],[Importo stimato lotto  ]]-Tabella1[[#This Row],[STIMA DEI COSTI DELL''ACQUISTO
Primo anno]]-Tabella1[[#This Row],[STIMA DEI COSTI DELL''ACQUISTO
Secondo anno]]</f>
        <v>245000</v>
      </c>
      <c r="AC74" s="27">
        <f>Tabella1[[#This Row],[Importo stimato lotto  ]]*0.1</f>
        <v>36750</v>
      </c>
      <c r="AD74" s="4" t="s">
        <v>32</v>
      </c>
      <c r="AE74" s="4" t="s">
        <v>293</v>
      </c>
    </row>
    <row r="75" spans="1:31" s="2" customFormat="1" ht="24.95" customHeight="1" x14ac:dyDescent="0.25">
      <c r="A75" s="2" t="s">
        <v>30</v>
      </c>
      <c r="B75" s="3" t="s">
        <v>31</v>
      </c>
      <c r="H75" s="4" t="s">
        <v>32</v>
      </c>
      <c r="I75" s="17">
        <v>10000000</v>
      </c>
      <c r="J75" s="4" t="s">
        <v>33</v>
      </c>
      <c r="L75" s="2" t="s">
        <v>208</v>
      </c>
      <c r="M75" s="2" t="s">
        <v>34</v>
      </c>
      <c r="N75" s="18" t="s">
        <v>178</v>
      </c>
      <c r="Q75" s="21" t="s">
        <v>216</v>
      </c>
      <c r="R75" s="21" t="s">
        <v>59</v>
      </c>
      <c r="S75" s="23" t="s">
        <v>35</v>
      </c>
      <c r="V75" s="4">
        <v>36</v>
      </c>
      <c r="W75" s="4" t="s">
        <v>36</v>
      </c>
      <c r="X75" s="2" t="s">
        <v>133</v>
      </c>
      <c r="Y75" s="29" t="s">
        <v>298</v>
      </c>
      <c r="Z75" s="27">
        <v>0</v>
      </c>
      <c r="AA75" s="27">
        <f>Tabella1[[#This Row],[Importo stimato lotto  ]]/3</f>
        <v>3333333.3333333335</v>
      </c>
      <c r="AB75" s="27">
        <f>Tabella1[[#This Row],[Importo stimato lotto  ]]-Tabella1[[#This Row],[STIMA DEI COSTI DELL''ACQUISTO
Primo anno]]-Tabella1[[#This Row],[STIMA DEI COSTI DELL''ACQUISTO
Secondo anno]]</f>
        <v>6666666.666666666</v>
      </c>
      <c r="AC75" s="27">
        <f>Tabella1[[#This Row],[Importo stimato lotto  ]]*0.1</f>
        <v>1000000</v>
      </c>
      <c r="AD75" s="4" t="s">
        <v>36</v>
      </c>
    </row>
    <row r="76" spans="1:31" s="2" customFormat="1" ht="24.95" customHeight="1" x14ac:dyDescent="0.25">
      <c r="A76" s="2" t="s">
        <v>30</v>
      </c>
      <c r="B76" s="3" t="s">
        <v>31</v>
      </c>
      <c r="H76" s="4" t="s">
        <v>32</v>
      </c>
      <c r="I76" s="17">
        <v>662000</v>
      </c>
      <c r="J76" s="4" t="s">
        <v>33</v>
      </c>
      <c r="L76" s="2" t="s">
        <v>208</v>
      </c>
      <c r="M76" s="2" t="s">
        <v>269</v>
      </c>
      <c r="N76" s="18" t="s">
        <v>179</v>
      </c>
      <c r="Q76" s="21" t="s">
        <v>217</v>
      </c>
      <c r="R76" s="21" t="s">
        <v>51</v>
      </c>
      <c r="S76" s="23" t="s">
        <v>37</v>
      </c>
      <c r="V76" s="4">
        <v>12</v>
      </c>
      <c r="W76" s="4" t="s">
        <v>36</v>
      </c>
      <c r="X76" s="2" t="s">
        <v>132</v>
      </c>
      <c r="Y76" s="29" t="s">
        <v>299</v>
      </c>
      <c r="Z76" s="27">
        <f>Tabella1[[#This Row],[Importo stimato lotto  ]]*4/12</f>
        <v>220666.66666666666</v>
      </c>
      <c r="AA76" s="27">
        <f>Tabella1[[#This Row],[Importo stimato lotto  ]]*8/12</f>
        <v>441333.33333333331</v>
      </c>
      <c r="AB76" s="27">
        <f>Tabella1[[#This Row],[Importo stimato lotto  ]]-Tabella1[[#This Row],[STIMA DEI COSTI DELL''ACQUISTO
Primo anno]]-Tabella1[[#This Row],[STIMA DEI COSTI DELL''ACQUISTO
Secondo anno]]</f>
        <v>0</v>
      </c>
      <c r="AC76" s="27">
        <f>Tabella1[[#This Row],[Importo stimato lotto  ]]*0.1</f>
        <v>66200</v>
      </c>
      <c r="AD76" s="4" t="s">
        <v>36</v>
      </c>
    </row>
    <row r="77" spans="1:31" s="2" customFormat="1" ht="24.95" customHeight="1" x14ac:dyDescent="0.25">
      <c r="A77" s="2" t="s">
        <v>30</v>
      </c>
      <c r="B77" s="3" t="s">
        <v>31</v>
      </c>
      <c r="H77" s="4" t="s">
        <v>32</v>
      </c>
      <c r="I77" s="16">
        <v>69000</v>
      </c>
      <c r="J77" s="4" t="s">
        <v>33</v>
      </c>
      <c r="L77" s="2" t="s">
        <v>208</v>
      </c>
      <c r="M77" s="2" t="s">
        <v>271</v>
      </c>
      <c r="N77" s="18" t="s">
        <v>180</v>
      </c>
      <c r="Q77" s="21" t="s">
        <v>97</v>
      </c>
      <c r="R77" s="21" t="s">
        <v>218</v>
      </c>
      <c r="S77" s="24" t="s">
        <v>131</v>
      </c>
      <c r="V77" s="4">
        <v>36</v>
      </c>
      <c r="W77" s="4" t="s">
        <v>36</v>
      </c>
      <c r="X77" s="2" t="s">
        <v>126</v>
      </c>
      <c r="Y77" s="29" t="s">
        <v>74</v>
      </c>
      <c r="Z77" s="27">
        <f>Tabella1[[#This Row],[Importo stimato lotto  ]]*8/36</f>
        <v>15333.333333333334</v>
      </c>
      <c r="AA77" s="27">
        <f>Tabella1[[#This Row],[Importo stimato lotto  ]]*12/36</f>
        <v>23000</v>
      </c>
      <c r="AB77" s="27">
        <f>Tabella1[[#This Row],[Importo stimato lotto  ]]-Tabella1[[#This Row],[STIMA DEI COSTI DELL''ACQUISTO
Primo anno]]-Tabella1[[#This Row],[STIMA DEI COSTI DELL''ACQUISTO
Secondo anno]]</f>
        <v>30666.666666666664</v>
      </c>
      <c r="AC77" s="27">
        <f>Tabella1[[#This Row],[Importo stimato lotto  ]]*0.1</f>
        <v>6900</v>
      </c>
      <c r="AD77" s="4" t="s">
        <v>36</v>
      </c>
    </row>
    <row r="78" spans="1:31" s="2" customFormat="1" ht="24.95" customHeight="1" x14ac:dyDescent="0.25">
      <c r="A78" s="2" t="s">
        <v>30</v>
      </c>
      <c r="B78" s="3" t="s">
        <v>31</v>
      </c>
      <c r="H78" s="4" t="s">
        <v>32</v>
      </c>
      <c r="I78" s="16">
        <v>43700</v>
      </c>
      <c r="J78" s="4" t="s">
        <v>33</v>
      </c>
      <c r="L78" s="2" t="s">
        <v>208</v>
      </c>
      <c r="M78" s="2" t="s">
        <v>271</v>
      </c>
      <c r="N78" s="18" t="s">
        <v>181</v>
      </c>
      <c r="Q78" s="21" t="s">
        <v>97</v>
      </c>
      <c r="R78" s="21" t="s">
        <v>218</v>
      </c>
      <c r="S78" s="24" t="s">
        <v>131</v>
      </c>
      <c r="V78" s="4">
        <v>36</v>
      </c>
      <c r="W78" s="4" t="s">
        <v>36</v>
      </c>
      <c r="X78" s="2" t="s">
        <v>126</v>
      </c>
      <c r="Y78" s="29" t="s">
        <v>74</v>
      </c>
      <c r="Z78" s="27">
        <f>Tabella1[[#This Row],[Importo stimato lotto  ]]*8/36</f>
        <v>9711.1111111111113</v>
      </c>
      <c r="AA78" s="27">
        <f>Tabella1[[#This Row],[Importo stimato lotto  ]]*12/36</f>
        <v>14566.666666666666</v>
      </c>
      <c r="AB78" s="27">
        <f>Tabella1[[#This Row],[Importo stimato lotto  ]]-Tabella1[[#This Row],[STIMA DEI COSTI DELL''ACQUISTO
Primo anno]]-Tabella1[[#This Row],[STIMA DEI COSTI DELL''ACQUISTO
Secondo anno]]</f>
        <v>19422.222222222226</v>
      </c>
      <c r="AC78" s="27">
        <f>Tabella1[[#This Row],[Importo stimato lotto  ]]*0.1</f>
        <v>4370</v>
      </c>
      <c r="AD78" s="4" t="s">
        <v>36</v>
      </c>
    </row>
    <row r="79" spans="1:31" s="2" customFormat="1" ht="24.95" customHeight="1" x14ac:dyDescent="0.25">
      <c r="A79" s="2" t="s">
        <v>30</v>
      </c>
      <c r="B79" s="3" t="s">
        <v>31</v>
      </c>
      <c r="H79" s="4" t="s">
        <v>32</v>
      </c>
      <c r="I79" s="17">
        <v>43700</v>
      </c>
      <c r="J79" s="4" t="s">
        <v>33</v>
      </c>
      <c r="L79" s="2" t="s">
        <v>208</v>
      </c>
      <c r="M79" s="2" t="s">
        <v>271</v>
      </c>
      <c r="N79" s="18" t="s">
        <v>182</v>
      </c>
      <c r="Q79" s="21" t="s">
        <v>97</v>
      </c>
      <c r="R79" s="21" t="s">
        <v>218</v>
      </c>
      <c r="S79" s="24" t="s">
        <v>131</v>
      </c>
      <c r="V79" s="4">
        <v>36</v>
      </c>
      <c r="W79" s="4" t="s">
        <v>36</v>
      </c>
      <c r="X79" s="2" t="s">
        <v>126</v>
      </c>
      <c r="Y79" s="29" t="s">
        <v>300</v>
      </c>
      <c r="Z79" s="27">
        <f>Tabella1[[#This Row],[Importo stimato lotto  ]]*2/36</f>
        <v>2427.7777777777778</v>
      </c>
      <c r="AA79" s="27">
        <f>Tabella1[[#This Row],[Importo stimato lotto  ]]*12/36</f>
        <v>14566.666666666666</v>
      </c>
      <c r="AB79" s="27">
        <f>Tabella1[[#This Row],[Importo stimato lotto  ]]-Tabella1[[#This Row],[STIMA DEI COSTI DELL''ACQUISTO
Primo anno]]-Tabella1[[#This Row],[STIMA DEI COSTI DELL''ACQUISTO
Secondo anno]]</f>
        <v>26705.555555555555</v>
      </c>
      <c r="AC79" s="27">
        <f>Tabella1[[#This Row],[Importo stimato lotto  ]]*0.1</f>
        <v>4370</v>
      </c>
      <c r="AD79" s="4" t="s">
        <v>36</v>
      </c>
    </row>
    <row r="80" spans="1:31" s="2" customFormat="1" ht="24.95" customHeight="1" x14ac:dyDescent="0.25">
      <c r="A80" s="2" t="s">
        <v>30</v>
      </c>
      <c r="B80" s="3" t="s">
        <v>31</v>
      </c>
      <c r="H80" s="4" t="s">
        <v>32</v>
      </c>
      <c r="I80" s="17">
        <v>230000</v>
      </c>
      <c r="J80" s="4" t="s">
        <v>33</v>
      </c>
      <c r="L80" s="2" t="s">
        <v>208</v>
      </c>
      <c r="M80" s="2" t="s">
        <v>271</v>
      </c>
      <c r="N80" s="18" t="s">
        <v>219</v>
      </c>
      <c r="Q80" s="21" t="s">
        <v>97</v>
      </c>
      <c r="R80" s="21" t="s">
        <v>218</v>
      </c>
      <c r="S80" s="24" t="s">
        <v>131</v>
      </c>
      <c r="V80" s="4">
        <v>36</v>
      </c>
      <c r="W80" s="4" t="s">
        <v>36</v>
      </c>
      <c r="X80" s="2" t="s">
        <v>126</v>
      </c>
      <c r="Y80" s="29" t="s">
        <v>301</v>
      </c>
      <c r="Z80" s="27">
        <v>0</v>
      </c>
      <c r="AA80" s="27">
        <f>Tabella1[[#This Row],[Importo stimato lotto  ]]/3</f>
        <v>76666.666666666672</v>
      </c>
      <c r="AB80" s="27">
        <f>Tabella1[[#This Row],[Importo stimato lotto  ]]-Tabella1[[#This Row],[STIMA DEI COSTI DELL''ACQUISTO
Primo anno]]-Tabella1[[#This Row],[STIMA DEI COSTI DELL''ACQUISTO
Secondo anno]]</f>
        <v>153333.33333333331</v>
      </c>
      <c r="AC80" s="27">
        <f>Tabella1[[#This Row],[Importo stimato lotto  ]]*0.1</f>
        <v>23000</v>
      </c>
      <c r="AD80" s="4" t="s">
        <v>36</v>
      </c>
    </row>
    <row r="81" spans="1:30" s="2" customFormat="1" ht="24.95" customHeight="1" x14ac:dyDescent="0.25">
      <c r="A81" s="2" t="s">
        <v>30</v>
      </c>
      <c r="B81" s="3" t="s">
        <v>31</v>
      </c>
      <c r="H81" s="4" t="s">
        <v>32</v>
      </c>
      <c r="I81" s="17">
        <v>92000</v>
      </c>
      <c r="J81" s="4" t="s">
        <v>33</v>
      </c>
      <c r="L81" s="2" t="s">
        <v>208</v>
      </c>
      <c r="M81" s="2" t="s">
        <v>271</v>
      </c>
      <c r="N81" s="18" t="s">
        <v>220</v>
      </c>
      <c r="Q81" s="21" t="s">
        <v>97</v>
      </c>
      <c r="R81" s="21" t="s">
        <v>218</v>
      </c>
      <c r="S81" s="24" t="s">
        <v>131</v>
      </c>
      <c r="V81" s="4">
        <v>36</v>
      </c>
      <c r="W81" s="4" t="s">
        <v>36</v>
      </c>
      <c r="X81" s="2" t="s">
        <v>126</v>
      </c>
      <c r="Y81" s="29" t="s">
        <v>74</v>
      </c>
      <c r="Z81" s="27">
        <f>Tabella1[[#This Row],[Importo stimato lotto  ]]*8/36</f>
        <v>20444.444444444445</v>
      </c>
      <c r="AA81" s="27">
        <f>Tabella1[[#This Row],[Importo stimato lotto  ]]*12/36</f>
        <v>30666.666666666668</v>
      </c>
      <c r="AB81" s="27">
        <f>Tabella1[[#This Row],[Importo stimato lotto  ]]-Tabella1[[#This Row],[STIMA DEI COSTI DELL''ACQUISTO
Primo anno]]-Tabella1[[#This Row],[STIMA DEI COSTI DELL''ACQUISTO
Secondo anno]]</f>
        <v>40888.888888888891</v>
      </c>
      <c r="AC81" s="27">
        <f>Tabella1[[#This Row],[Importo stimato lotto  ]]*0.1</f>
        <v>9200</v>
      </c>
      <c r="AD81" s="4" t="s">
        <v>36</v>
      </c>
    </row>
    <row r="82" spans="1:30" s="2" customFormat="1" ht="24.95" customHeight="1" x14ac:dyDescent="0.25">
      <c r="A82" s="2" t="s">
        <v>30</v>
      </c>
      <c r="B82" s="3" t="s">
        <v>31</v>
      </c>
      <c r="H82" s="4" t="s">
        <v>32</v>
      </c>
      <c r="I82" s="17">
        <v>200000</v>
      </c>
      <c r="J82" s="4" t="s">
        <v>33</v>
      </c>
      <c r="L82" s="2" t="s">
        <v>208</v>
      </c>
      <c r="M82" s="2" t="s">
        <v>273</v>
      </c>
      <c r="N82" s="18" t="s">
        <v>183</v>
      </c>
      <c r="Q82" s="21" t="s">
        <v>52</v>
      </c>
      <c r="R82" s="21" t="s">
        <v>53</v>
      </c>
      <c r="S82" s="23" t="s">
        <v>54</v>
      </c>
      <c r="V82" s="4">
        <v>5</v>
      </c>
      <c r="W82" s="4" t="s">
        <v>36</v>
      </c>
      <c r="X82" s="2" t="s">
        <v>133</v>
      </c>
      <c r="Y82" s="29" t="s">
        <v>72</v>
      </c>
      <c r="Z82" s="27">
        <f>Tabella1[[#This Row],[Importo stimato lotto  ]]*4/5</f>
        <v>160000</v>
      </c>
      <c r="AA82" s="27">
        <f>Tabella1[[#This Row],[Importo stimato lotto  ]]/5</f>
        <v>40000</v>
      </c>
      <c r="AB82" s="27">
        <f>Tabella1[[#This Row],[Importo stimato lotto  ]]-Tabella1[[#This Row],[STIMA DEI COSTI DELL''ACQUISTO
Primo anno]]-Tabella1[[#This Row],[STIMA DEI COSTI DELL''ACQUISTO
Secondo anno]]</f>
        <v>0</v>
      </c>
      <c r="AC82" s="27">
        <f>Tabella1[[#This Row],[Importo stimato lotto  ]]*0.1</f>
        <v>20000</v>
      </c>
      <c r="AD82" s="4" t="s">
        <v>36</v>
      </c>
    </row>
    <row r="83" spans="1:30" s="2" customFormat="1" ht="24.95" customHeight="1" x14ac:dyDescent="0.25">
      <c r="A83" s="2" t="s">
        <v>30</v>
      </c>
      <c r="B83" s="3" t="s">
        <v>31</v>
      </c>
      <c r="H83" s="4" t="s">
        <v>32</v>
      </c>
      <c r="I83" s="17">
        <v>100000</v>
      </c>
      <c r="J83" s="4" t="s">
        <v>33</v>
      </c>
      <c r="L83" s="2" t="s">
        <v>208</v>
      </c>
      <c r="M83" s="2" t="s">
        <v>273</v>
      </c>
      <c r="N83" s="18" t="s">
        <v>184</v>
      </c>
      <c r="Q83" s="21" t="s">
        <v>52</v>
      </c>
      <c r="R83" s="21" t="s">
        <v>53</v>
      </c>
      <c r="S83" s="23" t="s">
        <v>54</v>
      </c>
      <c r="V83" s="4">
        <v>5</v>
      </c>
      <c r="W83" s="4" t="s">
        <v>36</v>
      </c>
      <c r="X83" s="2" t="s">
        <v>133</v>
      </c>
      <c r="Y83" s="29" t="s">
        <v>72</v>
      </c>
      <c r="Z83" s="27">
        <f>Tabella1[[#This Row],[Importo stimato lotto  ]]*4/5</f>
        <v>80000</v>
      </c>
      <c r="AA83" s="27">
        <f>Tabella1[[#This Row],[Importo stimato lotto  ]]/5</f>
        <v>20000</v>
      </c>
      <c r="AB83" s="27">
        <f>Tabella1[[#This Row],[Importo stimato lotto  ]]-Tabella1[[#This Row],[STIMA DEI COSTI DELL''ACQUISTO
Primo anno]]-Tabella1[[#This Row],[STIMA DEI COSTI DELL''ACQUISTO
Secondo anno]]</f>
        <v>0</v>
      </c>
      <c r="AC83" s="27">
        <f>Tabella1[[#This Row],[Importo stimato lotto  ]]*0.1</f>
        <v>10000</v>
      </c>
      <c r="AD83" s="4" t="s">
        <v>36</v>
      </c>
    </row>
    <row r="84" spans="1:30" s="2" customFormat="1" ht="24.95" customHeight="1" x14ac:dyDescent="0.25">
      <c r="A84" s="2" t="s">
        <v>30</v>
      </c>
      <c r="B84" s="3" t="s">
        <v>31</v>
      </c>
      <c r="H84" s="4" t="s">
        <v>32</v>
      </c>
      <c r="I84" s="17">
        <v>1280000</v>
      </c>
      <c r="J84" s="4" t="s">
        <v>33</v>
      </c>
      <c r="L84" s="2" t="s">
        <v>208</v>
      </c>
      <c r="M84" s="2" t="s">
        <v>62</v>
      </c>
      <c r="N84" s="18" t="s">
        <v>185</v>
      </c>
      <c r="Q84" s="21" t="s">
        <v>58</v>
      </c>
      <c r="R84" s="21" t="s">
        <v>59</v>
      </c>
      <c r="S84" s="23" t="s">
        <v>60</v>
      </c>
      <c r="V84" s="4">
        <v>3</v>
      </c>
      <c r="W84" s="4" t="s">
        <v>36</v>
      </c>
      <c r="X84" s="2" t="s">
        <v>133</v>
      </c>
      <c r="Y84" s="29" t="s">
        <v>86</v>
      </c>
      <c r="Z84" s="27">
        <v>0</v>
      </c>
      <c r="AA84" s="27">
        <f>Tabella1[[#This Row],[Importo stimato lotto  ]]</f>
        <v>1280000</v>
      </c>
      <c r="AB84" s="27">
        <f>Tabella1[[#This Row],[Importo stimato lotto  ]]-Tabella1[[#This Row],[STIMA DEI COSTI DELL''ACQUISTO
Primo anno]]-Tabella1[[#This Row],[STIMA DEI COSTI DELL''ACQUISTO
Secondo anno]]</f>
        <v>0</v>
      </c>
      <c r="AC84" s="27">
        <f>Tabella1[[#This Row],[Importo stimato lotto  ]]*0.1</f>
        <v>128000</v>
      </c>
      <c r="AD84" s="4" t="s">
        <v>36</v>
      </c>
    </row>
    <row r="85" spans="1:30" s="2" customFormat="1" ht="24.95" customHeight="1" x14ac:dyDescent="0.25">
      <c r="A85" s="2" t="s">
        <v>30</v>
      </c>
      <c r="B85" s="3" t="s">
        <v>31</v>
      </c>
      <c r="H85" s="4" t="s">
        <v>32</v>
      </c>
      <c r="I85" s="17">
        <v>250000</v>
      </c>
      <c r="J85" s="4" t="s">
        <v>33</v>
      </c>
      <c r="L85" s="2" t="s">
        <v>208</v>
      </c>
      <c r="M85" s="2" t="s">
        <v>273</v>
      </c>
      <c r="N85" s="18" t="s">
        <v>186</v>
      </c>
      <c r="Q85" s="21" t="s">
        <v>221</v>
      </c>
      <c r="R85" s="21" t="s">
        <v>222</v>
      </c>
      <c r="S85" s="23" t="s">
        <v>55</v>
      </c>
      <c r="V85" s="4">
        <v>9</v>
      </c>
      <c r="W85" s="4" t="s">
        <v>36</v>
      </c>
      <c r="X85" s="2" t="s">
        <v>133</v>
      </c>
      <c r="Y85" s="29" t="s">
        <v>86</v>
      </c>
      <c r="Z85" s="27">
        <v>0</v>
      </c>
      <c r="AA85" s="27">
        <f>Tabella1[[#This Row],[Importo stimato lotto  ]]</f>
        <v>250000</v>
      </c>
      <c r="AB85" s="27">
        <f>Tabella1[[#This Row],[Importo stimato lotto  ]]-Tabella1[[#This Row],[STIMA DEI COSTI DELL''ACQUISTO
Primo anno]]-Tabella1[[#This Row],[STIMA DEI COSTI DELL''ACQUISTO
Secondo anno]]</f>
        <v>0</v>
      </c>
      <c r="AC85" s="27">
        <f>Tabella1[[#This Row],[Importo stimato lotto  ]]*0.1</f>
        <v>25000</v>
      </c>
      <c r="AD85" s="4" t="s">
        <v>36</v>
      </c>
    </row>
    <row r="86" spans="1:30" s="2" customFormat="1" ht="24.95" customHeight="1" x14ac:dyDescent="0.25">
      <c r="A86" s="2" t="s">
        <v>30</v>
      </c>
      <c r="B86" s="3" t="s">
        <v>31</v>
      </c>
      <c r="H86" s="4" t="s">
        <v>32</v>
      </c>
      <c r="I86" s="17">
        <v>130000</v>
      </c>
      <c r="J86" s="4" t="s">
        <v>33</v>
      </c>
      <c r="L86" s="2" t="s">
        <v>208</v>
      </c>
      <c r="M86" s="2" t="s">
        <v>265</v>
      </c>
      <c r="N86" s="18" t="s">
        <v>56</v>
      </c>
      <c r="Q86" s="21" t="s">
        <v>223</v>
      </c>
      <c r="R86" s="21" t="s">
        <v>224</v>
      </c>
      <c r="S86" s="23" t="s">
        <v>57</v>
      </c>
      <c r="V86" s="4">
        <v>36</v>
      </c>
      <c r="W86" s="4" t="s">
        <v>36</v>
      </c>
      <c r="X86" s="2" t="s">
        <v>133</v>
      </c>
      <c r="Y86" s="29" t="s">
        <v>72</v>
      </c>
      <c r="Z86" s="27">
        <f>Tabella1[[#This Row],[Importo stimato lotto  ]]*3/36</f>
        <v>10833.333333333334</v>
      </c>
      <c r="AA86" s="27">
        <f>Tabella1[[#This Row],[Importo stimato lotto  ]]*12/36</f>
        <v>43333.333333333336</v>
      </c>
      <c r="AB86" s="27">
        <f>Tabella1[[#This Row],[Importo stimato lotto  ]]-Tabella1[[#This Row],[STIMA DEI COSTI DELL''ACQUISTO
Primo anno]]-Tabella1[[#This Row],[STIMA DEI COSTI DELL''ACQUISTO
Secondo anno]]</f>
        <v>75833.333333333343</v>
      </c>
      <c r="AC86" s="27">
        <f>Tabella1[[#This Row],[Importo stimato lotto  ]]*0.1</f>
        <v>13000</v>
      </c>
      <c r="AD86" s="4" t="s">
        <v>36</v>
      </c>
    </row>
    <row r="87" spans="1:30" s="2" customFormat="1" ht="24.95" customHeight="1" x14ac:dyDescent="0.25">
      <c r="A87" s="2" t="s">
        <v>30</v>
      </c>
      <c r="B87" s="3" t="s">
        <v>31</v>
      </c>
      <c r="H87" s="4" t="s">
        <v>32</v>
      </c>
      <c r="I87" s="17">
        <v>250000</v>
      </c>
      <c r="J87" s="4" t="s">
        <v>33</v>
      </c>
      <c r="L87" s="2" t="s">
        <v>96</v>
      </c>
      <c r="M87" s="2" t="s">
        <v>273</v>
      </c>
      <c r="N87" s="18" t="s">
        <v>187</v>
      </c>
      <c r="Q87" s="21" t="s">
        <v>221</v>
      </c>
      <c r="R87" s="21" t="s">
        <v>222</v>
      </c>
      <c r="S87" s="23" t="s">
        <v>55</v>
      </c>
      <c r="V87" s="4">
        <v>12</v>
      </c>
      <c r="W87" s="4" t="s">
        <v>36</v>
      </c>
      <c r="X87" s="2" t="s">
        <v>126</v>
      </c>
      <c r="Y87" s="29" t="s">
        <v>86</v>
      </c>
      <c r="Z87" s="27">
        <v>0</v>
      </c>
      <c r="AA87" s="27">
        <f>Tabella1[[#This Row],[Importo stimato lotto  ]]</f>
        <v>250000</v>
      </c>
      <c r="AB87" s="27">
        <f>Tabella1[[#This Row],[Importo stimato lotto  ]]-Tabella1[[#This Row],[STIMA DEI COSTI DELL''ACQUISTO
Primo anno]]-Tabella1[[#This Row],[STIMA DEI COSTI DELL''ACQUISTO
Secondo anno]]</f>
        <v>0</v>
      </c>
      <c r="AC87" s="27">
        <f>Tabella1[[#This Row],[Importo stimato lotto  ]]*0.1</f>
        <v>25000</v>
      </c>
      <c r="AD87" s="4" t="s">
        <v>36</v>
      </c>
    </row>
    <row r="88" spans="1:30" s="2" customFormat="1" ht="24.95" customHeight="1" x14ac:dyDescent="0.25">
      <c r="A88" s="2" t="s">
        <v>30</v>
      </c>
      <c r="B88" s="3" t="s">
        <v>31</v>
      </c>
      <c r="H88" s="4" t="s">
        <v>32</v>
      </c>
      <c r="I88" s="17">
        <v>200000</v>
      </c>
      <c r="J88" s="4" t="s">
        <v>33</v>
      </c>
      <c r="L88" s="2" t="s">
        <v>96</v>
      </c>
      <c r="M88" s="2" t="s">
        <v>273</v>
      </c>
      <c r="N88" s="18" t="s">
        <v>188</v>
      </c>
      <c r="Q88" s="21" t="s">
        <v>221</v>
      </c>
      <c r="R88" s="21" t="s">
        <v>222</v>
      </c>
      <c r="S88" s="23" t="s">
        <v>55</v>
      </c>
      <c r="V88" s="4">
        <v>9</v>
      </c>
      <c r="W88" s="4" t="s">
        <v>36</v>
      </c>
      <c r="X88" s="2" t="s">
        <v>133</v>
      </c>
      <c r="Y88" s="29" t="s">
        <v>86</v>
      </c>
      <c r="Z88" s="27">
        <v>0</v>
      </c>
      <c r="AA88" s="27">
        <f>Tabella1[[#This Row],[Importo stimato lotto  ]]</f>
        <v>200000</v>
      </c>
      <c r="AB88" s="27">
        <f>Tabella1[[#This Row],[Importo stimato lotto  ]]-Tabella1[[#This Row],[STIMA DEI COSTI DELL''ACQUISTO
Primo anno]]-Tabella1[[#This Row],[STIMA DEI COSTI DELL''ACQUISTO
Secondo anno]]</f>
        <v>0</v>
      </c>
      <c r="AC88" s="27">
        <f>Tabella1[[#This Row],[Importo stimato lotto  ]]*0.1</f>
        <v>20000</v>
      </c>
      <c r="AD88" s="4" t="s">
        <v>36</v>
      </c>
    </row>
    <row r="89" spans="1:30" s="2" customFormat="1" ht="60" customHeight="1" x14ac:dyDescent="0.25">
      <c r="A89" s="2" t="s">
        <v>30</v>
      </c>
      <c r="B89" s="3" t="s">
        <v>31</v>
      </c>
      <c r="H89" s="4" t="s">
        <v>32</v>
      </c>
      <c r="I89" s="17">
        <v>380520</v>
      </c>
      <c r="J89" s="4" t="s">
        <v>33</v>
      </c>
      <c r="L89" s="2" t="s">
        <v>208</v>
      </c>
      <c r="M89" s="2" t="s">
        <v>274</v>
      </c>
      <c r="N89" s="18" t="s">
        <v>189</v>
      </c>
      <c r="Q89" s="21" t="s">
        <v>225</v>
      </c>
      <c r="R89" s="21" t="s">
        <v>226</v>
      </c>
      <c r="S89" s="23" t="s">
        <v>260</v>
      </c>
      <c r="V89" s="4">
        <v>12</v>
      </c>
      <c r="W89" s="4" t="s">
        <v>36</v>
      </c>
      <c r="X89" s="2" t="s">
        <v>133</v>
      </c>
      <c r="Y89" s="29" t="s">
        <v>72</v>
      </c>
      <c r="Z89" s="27">
        <f>Tabella1[[#This Row],[Importo stimato lotto  ]]*4/12</f>
        <v>126840</v>
      </c>
      <c r="AA89" s="27">
        <f>Tabella1[[#This Row],[Importo stimato lotto  ]]*8/12</f>
        <v>253680</v>
      </c>
      <c r="AB89" s="27">
        <f>Tabella1[[#This Row],[Importo stimato lotto  ]]-Tabella1[[#This Row],[STIMA DEI COSTI DELL''ACQUISTO
Primo anno]]-Tabella1[[#This Row],[STIMA DEI COSTI DELL''ACQUISTO
Secondo anno]]</f>
        <v>0</v>
      </c>
      <c r="AC89" s="27">
        <f>Tabella1[[#This Row],[Importo stimato lotto  ]]*0.1</f>
        <v>38052</v>
      </c>
      <c r="AD89" s="4" t="s">
        <v>36</v>
      </c>
    </row>
    <row r="90" spans="1:30" s="2" customFormat="1" ht="80.099999999999994" customHeight="1" x14ac:dyDescent="0.25">
      <c r="A90" s="2" t="s">
        <v>30</v>
      </c>
      <c r="B90" s="3" t="s">
        <v>31</v>
      </c>
      <c r="H90" s="4" t="s">
        <v>32</v>
      </c>
      <c r="I90" s="17">
        <v>192500</v>
      </c>
      <c r="J90" s="4" t="s">
        <v>33</v>
      </c>
      <c r="L90" s="2" t="s">
        <v>208</v>
      </c>
      <c r="M90" s="2" t="s">
        <v>274</v>
      </c>
      <c r="N90" s="18" t="s">
        <v>190</v>
      </c>
      <c r="Q90" s="21" t="s">
        <v>225</v>
      </c>
      <c r="R90" s="21" t="s">
        <v>226</v>
      </c>
      <c r="S90" s="23" t="s">
        <v>260</v>
      </c>
      <c r="V90" s="4">
        <v>4</v>
      </c>
      <c r="W90" s="4" t="s">
        <v>36</v>
      </c>
      <c r="X90" s="2" t="s">
        <v>133</v>
      </c>
      <c r="Y90" s="29" t="s">
        <v>88</v>
      </c>
      <c r="Z90" s="27">
        <f>Tabella1[[#This Row],[Importo stimato lotto  ]]/2</f>
        <v>96250</v>
      </c>
      <c r="AA90" s="27">
        <f>Tabella1[[#This Row],[Importo stimato lotto  ]]/2</f>
        <v>96250</v>
      </c>
      <c r="AB90" s="27">
        <f>Tabella1[[#This Row],[Importo stimato lotto  ]]-Tabella1[[#This Row],[STIMA DEI COSTI DELL''ACQUISTO
Primo anno]]-Tabella1[[#This Row],[STIMA DEI COSTI DELL''ACQUISTO
Secondo anno]]</f>
        <v>0</v>
      </c>
      <c r="AC90" s="27">
        <f>Tabella1[[#This Row],[Importo stimato lotto  ]]*0.1</f>
        <v>19250</v>
      </c>
      <c r="AD90" s="4" t="s">
        <v>36</v>
      </c>
    </row>
    <row r="91" spans="1:30" s="2" customFormat="1" ht="24.95" customHeight="1" x14ac:dyDescent="0.25">
      <c r="A91" s="2" t="s">
        <v>30</v>
      </c>
      <c r="B91" s="3" t="s">
        <v>31</v>
      </c>
      <c r="H91" s="4" t="s">
        <v>32</v>
      </c>
      <c r="I91" s="17">
        <v>420000</v>
      </c>
      <c r="J91" s="4" t="s">
        <v>33</v>
      </c>
      <c r="L91" s="2" t="s">
        <v>208</v>
      </c>
      <c r="M91" s="2" t="s">
        <v>277</v>
      </c>
      <c r="N91" s="18" t="s">
        <v>227</v>
      </c>
      <c r="Q91" s="22" t="s">
        <v>107</v>
      </c>
      <c r="R91" s="22" t="s">
        <v>228</v>
      </c>
      <c r="S91" s="23" t="s">
        <v>64</v>
      </c>
      <c r="V91" s="4">
        <v>12</v>
      </c>
      <c r="W91" s="4" t="s">
        <v>36</v>
      </c>
      <c r="X91" s="2" t="s">
        <v>126</v>
      </c>
      <c r="Y91" s="29" t="s">
        <v>88</v>
      </c>
      <c r="Z91" s="27">
        <f>Tabella1[[#This Row],[Importo stimato lotto  ]]*2/12</f>
        <v>70000</v>
      </c>
      <c r="AA91" s="27">
        <f>Tabella1[[#This Row],[Importo stimato lotto  ]]*10/12</f>
        <v>350000</v>
      </c>
      <c r="AB91" s="27">
        <f>Tabella1[[#This Row],[Importo stimato lotto  ]]-Tabella1[[#This Row],[STIMA DEI COSTI DELL''ACQUISTO
Primo anno]]-Tabella1[[#This Row],[STIMA DEI COSTI DELL''ACQUISTO
Secondo anno]]</f>
        <v>0</v>
      </c>
      <c r="AC91" s="27">
        <f>Tabella1[[#This Row],[Importo stimato lotto  ]]*0.1</f>
        <v>42000</v>
      </c>
      <c r="AD91" s="4" t="s">
        <v>36</v>
      </c>
    </row>
    <row r="92" spans="1:30" s="2" customFormat="1" ht="60" customHeight="1" x14ac:dyDescent="0.25">
      <c r="A92" s="2" t="s">
        <v>30</v>
      </c>
      <c r="B92" s="3" t="s">
        <v>31</v>
      </c>
      <c r="H92" s="4" t="s">
        <v>32</v>
      </c>
      <c r="I92" s="17">
        <v>120000</v>
      </c>
      <c r="J92" s="4" t="s">
        <v>33</v>
      </c>
      <c r="L92" s="2" t="s">
        <v>208</v>
      </c>
      <c r="M92" s="2" t="s">
        <v>274</v>
      </c>
      <c r="N92" s="18" t="s">
        <v>191</v>
      </c>
      <c r="Q92" s="21" t="s">
        <v>225</v>
      </c>
      <c r="R92" s="21" t="s">
        <v>226</v>
      </c>
      <c r="S92" s="23" t="s">
        <v>260</v>
      </c>
      <c r="V92" s="4">
        <v>4</v>
      </c>
      <c r="W92" s="4" t="s">
        <v>36</v>
      </c>
      <c r="X92" s="2" t="s">
        <v>133</v>
      </c>
      <c r="Y92" s="29" t="s">
        <v>88</v>
      </c>
      <c r="Z92" s="27">
        <f>Tabella1[[#This Row],[Importo stimato lotto  ]]/2</f>
        <v>60000</v>
      </c>
      <c r="AA92" s="27">
        <f>Tabella1[[#This Row],[Importo stimato lotto  ]]/2</f>
        <v>60000</v>
      </c>
      <c r="AB92" s="27">
        <f>Tabella1[[#This Row],[Importo stimato lotto  ]]-Tabella1[[#This Row],[STIMA DEI COSTI DELL''ACQUISTO
Primo anno]]-Tabella1[[#This Row],[STIMA DEI COSTI DELL''ACQUISTO
Secondo anno]]</f>
        <v>0</v>
      </c>
      <c r="AC92" s="27">
        <f>Tabella1[[#This Row],[Importo stimato lotto  ]]*0.1</f>
        <v>12000</v>
      </c>
      <c r="AD92" s="4" t="s">
        <v>36</v>
      </c>
    </row>
    <row r="93" spans="1:30" s="2" customFormat="1" ht="24.95" customHeight="1" x14ac:dyDescent="0.25">
      <c r="A93" s="2" t="s">
        <v>30</v>
      </c>
      <c r="B93" s="3" t="s">
        <v>31</v>
      </c>
      <c r="H93" s="4" t="s">
        <v>32</v>
      </c>
      <c r="I93" s="17">
        <v>120000</v>
      </c>
      <c r="J93" s="4" t="s">
        <v>33</v>
      </c>
      <c r="L93" s="2" t="s">
        <v>208</v>
      </c>
      <c r="M93" s="2" t="s">
        <v>278</v>
      </c>
      <c r="N93" s="18" t="s">
        <v>291</v>
      </c>
      <c r="Q93" s="22" t="s">
        <v>107</v>
      </c>
      <c r="R93" s="22" t="s">
        <v>228</v>
      </c>
      <c r="S93" s="23" t="s">
        <v>64</v>
      </c>
      <c r="V93" s="4">
        <v>2</v>
      </c>
      <c r="W93" s="4" t="s">
        <v>36</v>
      </c>
      <c r="X93" s="2" t="s">
        <v>133</v>
      </c>
      <c r="Y93" s="29" t="s">
        <v>88</v>
      </c>
      <c r="Z93" s="27">
        <f>Tabella1[[#This Row],[Importo stimato lotto  ]]</f>
        <v>120000</v>
      </c>
      <c r="AA93" s="27">
        <v>0</v>
      </c>
      <c r="AB93" s="27">
        <f>Tabella1[[#This Row],[Importo stimato lotto  ]]-Tabella1[[#This Row],[STIMA DEI COSTI DELL''ACQUISTO
Primo anno]]-Tabella1[[#This Row],[STIMA DEI COSTI DELL''ACQUISTO
Secondo anno]]</f>
        <v>0</v>
      </c>
      <c r="AC93" s="27">
        <f>Tabella1[[#This Row],[Importo stimato lotto  ]]*0.1</f>
        <v>12000</v>
      </c>
      <c r="AD93" s="4" t="s">
        <v>36</v>
      </c>
    </row>
    <row r="94" spans="1:30" s="2" customFormat="1" ht="80.099999999999994" customHeight="1" x14ac:dyDescent="0.25">
      <c r="A94" s="2" t="s">
        <v>30</v>
      </c>
      <c r="B94" s="3" t="s">
        <v>31</v>
      </c>
      <c r="H94" s="4" t="s">
        <v>32</v>
      </c>
      <c r="I94" s="17">
        <v>350000</v>
      </c>
      <c r="J94" s="4" t="s">
        <v>33</v>
      </c>
      <c r="L94" s="2" t="s">
        <v>208</v>
      </c>
      <c r="M94" s="2" t="s">
        <v>278</v>
      </c>
      <c r="N94" s="18" t="s">
        <v>192</v>
      </c>
      <c r="Q94" s="22" t="s">
        <v>101</v>
      </c>
      <c r="R94" s="22" t="s">
        <v>109</v>
      </c>
      <c r="S94" s="23" t="s">
        <v>243</v>
      </c>
      <c r="V94" s="4">
        <v>3</v>
      </c>
      <c r="W94" s="4" t="s">
        <v>36</v>
      </c>
      <c r="X94" s="2" t="s">
        <v>133</v>
      </c>
      <c r="Y94" s="29" t="s">
        <v>88</v>
      </c>
      <c r="Z94" s="27">
        <f>Tabella1[[#This Row],[Importo stimato lotto  ]]*2/3</f>
        <v>233333.33333333334</v>
      </c>
      <c r="AA94" s="27">
        <f>Tabella1[[#This Row],[Importo stimato lotto  ]]*1/3</f>
        <v>116666.66666666667</v>
      </c>
      <c r="AB94" s="27">
        <f>Tabella1[[#This Row],[Importo stimato lotto  ]]-Tabella1[[#This Row],[STIMA DEI COSTI DELL''ACQUISTO
Primo anno]]-Tabella1[[#This Row],[STIMA DEI COSTI DELL''ACQUISTO
Secondo anno]]</f>
        <v>0</v>
      </c>
      <c r="AC94" s="27">
        <f>Tabella1[[#This Row],[Importo stimato lotto  ]]*0.1</f>
        <v>35000</v>
      </c>
      <c r="AD94" s="4" t="s">
        <v>36</v>
      </c>
    </row>
    <row r="95" spans="1:30" s="2" customFormat="1" ht="24.95" customHeight="1" x14ac:dyDescent="0.25">
      <c r="A95" s="2" t="s">
        <v>30</v>
      </c>
      <c r="B95" s="3" t="s">
        <v>31</v>
      </c>
      <c r="H95" s="4" t="s">
        <v>32</v>
      </c>
      <c r="I95" s="17">
        <v>410000</v>
      </c>
      <c r="J95" s="4" t="s">
        <v>33</v>
      </c>
      <c r="L95" s="2" t="s">
        <v>208</v>
      </c>
      <c r="M95" s="2" t="s">
        <v>285</v>
      </c>
      <c r="N95" s="18" t="s">
        <v>229</v>
      </c>
      <c r="Q95" s="22" t="s">
        <v>107</v>
      </c>
      <c r="R95" s="22" t="s">
        <v>228</v>
      </c>
      <c r="S95" s="23" t="s">
        <v>64</v>
      </c>
      <c r="V95" s="4">
        <v>3</v>
      </c>
      <c r="W95" s="4" t="s">
        <v>36</v>
      </c>
      <c r="X95" s="2" t="s">
        <v>133</v>
      </c>
      <c r="Y95" s="29" t="s">
        <v>83</v>
      </c>
      <c r="Z95" s="27">
        <f>Tabella1[[#This Row],[Importo stimato lotto  ]]</f>
        <v>410000</v>
      </c>
      <c r="AA95" s="27">
        <v>0</v>
      </c>
      <c r="AB95" s="27">
        <f>Tabella1[[#This Row],[Importo stimato lotto  ]]-Tabella1[[#This Row],[STIMA DEI COSTI DELL''ACQUISTO
Primo anno]]-Tabella1[[#This Row],[STIMA DEI COSTI DELL''ACQUISTO
Secondo anno]]</f>
        <v>0</v>
      </c>
      <c r="AC95" s="27">
        <f>Tabella1[[#This Row],[Importo stimato lotto  ]]*0.1</f>
        <v>41000</v>
      </c>
      <c r="AD95" s="4" t="s">
        <v>36</v>
      </c>
    </row>
    <row r="96" spans="1:30" s="2" customFormat="1" ht="60" customHeight="1" x14ac:dyDescent="0.25">
      <c r="A96" s="2" t="s">
        <v>30</v>
      </c>
      <c r="B96" s="3" t="s">
        <v>31</v>
      </c>
      <c r="H96" s="4" t="s">
        <v>32</v>
      </c>
      <c r="I96" s="17">
        <v>90000</v>
      </c>
      <c r="J96" s="4" t="s">
        <v>33</v>
      </c>
      <c r="L96" s="2" t="s">
        <v>208</v>
      </c>
      <c r="M96" s="2" t="s">
        <v>274</v>
      </c>
      <c r="N96" s="18" t="s">
        <v>230</v>
      </c>
      <c r="Q96" s="22" t="s">
        <v>101</v>
      </c>
      <c r="R96" s="22" t="s">
        <v>109</v>
      </c>
      <c r="S96" s="23" t="s">
        <v>243</v>
      </c>
      <c r="V96" s="4">
        <v>3</v>
      </c>
      <c r="W96" s="4" t="s">
        <v>36</v>
      </c>
      <c r="X96" s="2" t="s">
        <v>133</v>
      </c>
      <c r="Y96" s="29" t="s">
        <v>302</v>
      </c>
      <c r="Z96" s="27">
        <f>Tabella1[[#This Row],[Importo stimato lotto  ]]</f>
        <v>90000</v>
      </c>
      <c r="AA96" s="27">
        <v>0</v>
      </c>
      <c r="AB96" s="27">
        <f>Tabella1[[#This Row],[Importo stimato lotto  ]]-Tabella1[[#This Row],[STIMA DEI COSTI DELL''ACQUISTO
Primo anno]]-Tabella1[[#This Row],[STIMA DEI COSTI DELL''ACQUISTO
Secondo anno]]</f>
        <v>0</v>
      </c>
      <c r="AC96" s="27">
        <f>Tabella1[[#This Row],[Importo stimato lotto  ]]*0.1</f>
        <v>9000</v>
      </c>
      <c r="AD96" s="4" t="s">
        <v>36</v>
      </c>
    </row>
    <row r="97" spans="1:30" s="2" customFormat="1" ht="60" customHeight="1" x14ac:dyDescent="0.25">
      <c r="A97" s="2" t="s">
        <v>30</v>
      </c>
      <c r="B97" s="3" t="s">
        <v>31</v>
      </c>
      <c r="H97" s="4" t="s">
        <v>32</v>
      </c>
      <c r="I97" s="17">
        <v>50000</v>
      </c>
      <c r="J97" s="4" t="s">
        <v>33</v>
      </c>
      <c r="L97" s="2" t="s">
        <v>208</v>
      </c>
      <c r="M97" s="2" t="s">
        <v>275</v>
      </c>
      <c r="N97" s="18" t="s">
        <v>235</v>
      </c>
      <c r="O97" s="4" t="s">
        <v>32</v>
      </c>
      <c r="P97" s="2">
        <v>1</v>
      </c>
      <c r="Q97" s="22" t="s">
        <v>112</v>
      </c>
      <c r="R97" s="22" t="s">
        <v>114</v>
      </c>
      <c r="S97" s="23" t="s">
        <v>135</v>
      </c>
      <c r="V97" s="4">
        <v>3</v>
      </c>
      <c r="W97" s="4" t="s">
        <v>36</v>
      </c>
      <c r="X97" s="2" t="s">
        <v>133</v>
      </c>
      <c r="Y97" s="29" t="s">
        <v>74</v>
      </c>
      <c r="Z97" s="27">
        <f>Tabella1[[#This Row],[Importo stimato lotto  ]]</f>
        <v>50000</v>
      </c>
      <c r="AA97" s="27">
        <v>0</v>
      </c>
      <c r="AB97" s="27">
        <f>Tabella1[[#This Row],[Importo stimato lotto  ]]-Tabella1[[#This Row],[STIMA DEI COSTI DELL''ACQUISTO
Primo anno]]-Tabella1[[#This Row],[STIMA DEI COSTI DELL''ACQUISTO
Secondo anno]]</f>
        <v>0</v>
      </c>
      <c r="AC97" s="27">
        <f>Tabella1[[#This Row],[Importo stimato lotto  ]]*0.1</f>
        <v>5000</v>
      </c>
      <c r="AD97" s="4" t="s">
        <v>36</v>
      </c>
    </row>
    <row r="98" spans="1:30" s="2" customFormat="1" ht="24.95" customHeight="1" x14ac:dyDescent="0.25">
      <c r="A98" s="2" t="s">
        <v>30</v>
      </c>
      <c r="B98" s="3" t="s">
        <v>31</v>
      </c>
      <c r="H98" s="4" t="s">
        <v>32</v>
      </c>
      <c r="I98" s="17">
        <v>50000</v>
      </c>
      <c r="J98" s="4" t="s">
        <v>33</v>
      </c>
      <c r="L98" s="2" t="s">
        <v>208</v>
      </c>
      <c r="M98" s="2" t="s">
        <v>279</v>
      </c>
      <c r="N98" s="18" t="s">
        <v>231</v>
      </c>
      <c r="Q98" s="22" t="s">
        <v>116</v>
      </c>
      <c r="R98" s="22" t="s">
        <v>232</v>
      </c>
      <c r="S98" s="23" t="s">
        <v>61</v>
      </c>
      <c r="V98" s="4">
        <v>3</v>
      </c>
      <c r="W98" s="4" t="s">
        <v>36</v>
      </c>
      <c r="X98" s="2" t="s">
        <v>133</v>
      </c>
      <c r="Y98" s="29" t="s">
        <v>303</v>
      </c>
      <c r="Z98" s="27">
        <f>Tabella1[[#This Row],[Importo stimato lotto  ]]</f>
        <v>50000</v>
      </c>
      <c r="AA98" s="27">
        <v>0</v>
      </c>
      <c r="AB98" s="27">
        <f>Tabella1[[#This Row],[Importo stimato lotto  ]]-Tabella1[[#This Row],[STIMA DEI COSTI DELL''ACQUISTO
Primo anno]]-Tabella1[[#This Row],[STIMA DEI COSTI DELL''ACQUISTO
Secondo anno]]</f>
        <v>0</v>
      </c>
      <c r="AC98" s="27">
        <f>Tabella1[[#This Row],[Importo stimato lotto  ]]*0.1</f>
        <v>5000</v>
      </c>
      <c r="AD98" s="4" t="s">
        <v>36</v>
      </c>
    </row>
    <row r="99" spans="1:30" s="2" customFormat="1" ht="24.95" customHeight="1" x14ac:dyDescent="0.25">
      <c r="A99" s="2" t="s">
        <v>30</v>
      </c>
      <c r="B99" s="3" t="s">
        <v>31</v>
      </c>
      <c r="H99" s="4" t="s">
        <v>32</v>
      </c>
      <c r="I99" s="17">
        <v>370000</v>
      </c>
      <c r="J99" s="4" t="s">
        <v>33</v>
      </c>
      <c r="L99" s="2" t="s">
        <v>208</v>
      </c>
      <c r="M99" s="2" t="s">
        <v>281</v>
      </c>
      <c r="N99" s="18" t="s">
        <v>233</v>
      </c>
      <c r="Q99" s="22" t="s">
        <v>107</v>
      </c>
      <c r="R99" s="22" t="s">
        <v>228</v>
      </c>
      <c r="S99" s="23" t="s">
        <v>64</v>
      </c>
      <c r="V99" s="4">
        <v>4</v>
      </c>
      <c r="W99" s="4" t="s">
        <v>36</v>
      </c>
      <c r="X99" s="2" t="s">
        <v>133</v>
      </c>
      <c r="Y99" s="29" t="s">
        <v>302</v>
      </c>
      <c r="Z99" s="27">
        <f>Tabella1[[#This Row],[Importo stimato lotto  ]]*2/4</f>
        <v>185000</v>
      </c>
      <c r="AA99" s="27">
        <f>Tabella1[[#This Row],[Importo stimato lotto  ]]*2/4</f>
        <v>185000</v>
      </c>
      <c r="AB99" s="27">
        <f>Tabella1[[#This Row],[Importo stimato lotto  ]]-Tabella1[[#This Row],[STIMA DEI COSTI DELL''ACQUISTO
Primo anno]]-Tabella1[[#This Row],[STIMA DEI COSTI DELL''ACQUISTO
Secondo anno]]</f>
        <v>0</v>
      </c>
      <c r="AC99" s="27">
        <f>Tabella1[[#This Row],[Importo stimato lotto  ]]*0.1</f>
        <v>37000</v>
      </c>
      <c r="AD99" s="4" t="s">
        <v>36</v>
      </c>
    </row>
    <row r="100" spans="1:30" s="2" customFormat="1" ht="24.95" customHeight="1" x14ac:dyDescent="0.25">
      <c r="A100" s="2" t="s">
        <v>30</v>
      </c>
      <c r="B100" s="3" t="s">
        <v>31</v>
      </c>
      <c r="H100" s="4" t="s">
        <v>32</v>
      </c>
      <c r="I100" s="17">
        <v>1000000</v>
      </c>
      <c r="J100" s="4" t="s">
        <v>33</v>
      </c>
      <c r="L100" s="2" t="s">
        <v>208</v>
      </c>
      <c r="M100" s="2" t="s">
        <v>280</v>
      </c>
      <c r="N100" s="18" t="s">
        <v>234</v>
      </c>
      <c r="Q100" s="22" t="s">
        <v>116</v>
      </c>
      <c r="R100" s="22" t="s">
        <v>232</v>
      </c>
      <c r="S100" s="23" t="s">
        <v>61</v>
      </c>
      <c r="V100" s="4">
        <v>4</v>
      </c>
      <c r="W100" s="4" t="s">
        <v>36</v>
      </c>
      <c r="X100" s="2" t="s">
        <v>133</v>
      </c>
      <c r="Y100" s="29" t="s">
        <v>88</v>
      </c>
      <c r="Z100" s="27">
        <f>Tabella1[[#This Row],[Importo stimato lotto  ]]*2/4</f>
        <v>500000</v>
      </c>
      <c r="AA100" s="27">
        <f>Tabella1[[#This Row],[Importo stimato lotto  ]]*2/4</f>
        <v>500000</v>
      </c>
      <c r="AB100" s="27">
        <f>Tabella1[[#This Row],[Importo stimato lotto  ]]-Tabella1[[#This Row],[STIMA DEI COSTI DELL''ACQUISTO
Primo anno]]-Tabella1[[#This Row],[STIMA DEI COSTI DELL''ACQUISTO
Secondo anno]]</f>
        <v>0</v>
      </c>
      <c r="AC100" s="27">
        <f>Tabella1[[#This Row],[Importo stimato lotto  ]]*0.1</f>
        <v>100000</v>
      </c>
      <c r="AD100" s="4" t="s">
        <v>36</v>
      </c>
    </row>
    <row r="101" spans="1:30" s="2" customFormat="1" ht="24.95" customHeight="1" x14ac:dyDescent="0.25">
      <c r="A101" s="2" t="s">
        <v>30</v>
      </c>
      <c r="B101" s="3" t="s">
        <v>31</v>
      </c>
      <c r="H101" s="4" t="s">
        <v>32</v>
      </c>
      <c r="I101" s="17">
        <v>51750</v>
      </c>
      <c r="J101" s="4" t="s">
        <v>33</v>
      </c>
      <c r="L101" s="2" t="s">
        <v>208</v>
      </c>
      <c r="M101" s="25" t="s">
        <v>266</v>
      </c>
      <c r="N101" s="18" t="s">
        <v>193</v>
      </c>
      <c r="Q101" s="22" t="s">
        <v>236</v>
      </c>
      <c r="R101" s="22" t="s">
        <v>245</v>
      </c>
      <c r="S101" s="23" t="s">
        <v>38</v>
      </c>
      <c r="V101" s="4">
        <v>24</v>
      </c>
      <c r="W101" s="4" t="s">
        <v>36</v>
      </c>
      <c r="X101" s="2" t="s">
        <v>126</v>
      </c>
      <c r="Y101" s="29" t="s">
        <v>72</v>
      </c>
      <c r="Z101" s="27">
        <f>Tabella1[[#This Row],[Importo stimato lotto  ]]*3/24</f>
        <v>6468.75</v>
      </c>
      <c r="AA101" s="27">
        <f>Tabella1[[#This Row],[Importo stimato lotto  ]]*12/24</f>
        <v>25875</v>
      </c>
      <c r="AB101" s="27">
        <f>Tabella1[[#This Row],[Importo stimato lotto  ]]-Tabella1[[#This Row],[STIMA DEI COSTI DELL''ACQUISTO
Primo anno]]-Tabella1[[#This Row],[STIMA DEI COSTI DELL''ACQUISTO
Secondo anno]]</f>
        <v>19406.25</v>
      </c>
      <c r="AC101" s="27">
        <f>Tabella1[[#This Row],[Importo stimato lotto  ]]*0.1</f>
        <v>5175</v>
      </c>
      <c r="AD101" s="4" t="s">
        <v>36</v>
      </c>
    </row>
    <row r="102" spans="1:30" s="2" customFormat="1" ht="24.95" customHeight="1" x14ac:dyDescent="0.25">
      <c r="A102" s="2" t="s">
        <v>30</v>
      </c>
      <c r="B102" s="3" t="s">
        <v>31</v>
      </c>
      <c r="H102" s="4" t="s">
        <v>32</v>
      </c>
      <c r="I102" s="17">
        <v>97750</v>
      </c>
      <c r="J102" s="4" t="s">
        <v>33</v>
      </c>
      <c r="L102" s="2" t="s">
        <v>208</v>
      </c>
      <c r="M102" s="25" t="s">
        <v>266</v>
      </c>
      <c r="N102" s="18" t="s">
        <v>194</v>
      </c>
      <c r="Q102" s="22" t="s">
        <v>236</v>
      </c>
      <c r="R102" s="22" t="s">
        <v>245</v>
      </c>
      <c r="S102" s="23" t="s">
        <v>38</v>
      </c>
      <c r="V102" s="4">
        <v>24</v>
      </c>
      <c r="W102" s="4" t="s">
        <v>36</v>
      </c>
      <c r="X102" s="2" t="s">
        <v>126</v>
      </c>
      <c r="Y102" s="29" t="s">
        <v>74</v>
      </c>
      <c r="Z102" s="27">
        <f>Tabella1[[#This Row],[Importo stimato lotto  ]]*8/24</f>
        <v>32583.333333333332</v>
      </c>
      <c r="AA102" s="27">
        <f>Tabella1[[#This Row],[Importo stimato lotto  ]]*12/24</f>
        <v>48875</v>
      </c>
      <c r="AB102" s="27">
        <f>Tabella1[[#This Row],[Importo stimato lotto  ]]-Tabella1[[#This Row],[STIMA DEI COSTI DELL''ACQUISTO
Primo anno]]-Tabella1[[#This Row],[STIMA DEI COSTI DELL''ACQUISTO
Secondo anno]]</f>
        <v>16291.666666666672</v>
      </c>
      <c r="AC102" s="27">
        <f>Tabella1[[#This Row],[Importo stimato lotto  ]]*0.1</f>
        <v>9775</v>
      </c>
      <c r="AD102" s="4" t="s">
        <v>36</v>
      </c>
    </row>
    <row r="103" spans="1:30" s="2" customFormat="1" ht="24.95" customHeight="1" x14ac:dyDescent="0.25">
      <c r="A103" s="2" t="s">
        <v>30</v>
      </c>
      <c r="B103" s="3" t="s">
        <v>31</v>
      </c>
      <c r="H103" s="4" t="s">
        <v>32</v>
      </c>
      <c r="I103" s="17">
        <v>178250</v>
      </c>
      <c r="J103" s="4" t="s">
        <v>33</v>
      </c>
      <c r="L103" s="2" t="s">
        <v>208</v>
      </c>
      <c r="M103" s="25" t="s">
        <v>266</v>
      </c>
      <c r="N103" s="18" t="s">
        <v>195</v>
      </c>
      <c r="Q103" s="22" t="s">
        <v>236</v>
      </c>
      <c r="R103" s="22" t="s">
        <v>245</v>
      </c>
      <c r="S103" s="23" t="s">
        <v>38</v>
      </c>
      <c r="V103" s="4">
        <v>24</v>
      </c>
      <c r="W103" s="4" t="s">
        <v>36</v>
      </c>
      <c r="X103" s="2" t="s">
        <v>126</v>
      </c>
      <c r="Y103" s="29" t="s">
        <v>72</v>
      </c>
      <c r="Z103" s="27">
        <f>Tabella1[[#This Row],[Importo stimato lotto  ]]*2/24</f>
        <v>14854.166666666666</v>
      </c>
      <c r="AA103" s="27">
        <f>Tabella1[[#This Row],[Importo stimato lotto  ]]*12/24</f>
        <v>89125</v>
      </c>
      <c r="AB103" s="27">
        <f>Tabella1[[#This Row],[Importo stimato lotto  ]]-Tabella1[[#This Row],[STIMA DEI COSTI DELL''ACQUISTO
Primo anno]]-Tabella1[[#This Row],[STIMA DEI COSTI DELL''ACQUISTO
Secondo anno]]</f>
        <v>74270.833333333343</v>
      </c>
      <c r="AC103" s="27">
        <f>Tabella1[[#This Row],[Importo stimato lotto  ]]*0.1</f>
        <v>17825</v>
      </c>
      <c r="AD103" s="4" t="s">
        <v>36</v>
      </c>
    </row>
    <row r="104" spans="1:30" s="2" customFormat="1" ht="24.95" customHeight="1" x14ac:dyDescent="0.25">
      <c r="A104" s="2" t="s">
        <v>30</v>
      </c>
      <c r="B104" s="3" t="s">
        <v>31</v>
      </c>
      <c r="H104" s="4" t="s">
        <v>32</v>
      </c>
      <c r="I104" s="17">
        <v>63250</v>
      </c>
      <c r="J104" s="4" t="s">
        <v>33</v>
      </c>
      <c r="L104" s="2" t="s">
        <v>208</v>
      </c>
      <c r="M104" s="25" t="s">
        <v>266</v>
      </c>
      <c r="N104" s="18" t="s">
        <v>196</v>
      </c>
      <c r="Q104" s="22" t="s">
        <v>236</v>
      </c>
      <c r="R104" s="22" t="s">
        <v>245</v>
      </c>
      <c r="S104" s="23" t="s">
        <v>38</v>
      </c>
      <c r="V104" s="4">
        <v>24</v>
      </c>
      <c r="W104" s="4" t="s">
        <v>36</v>
      </c>
      <c r="X104" s="2" t="s">
        <v>126</v>
      </c>
      <c r="Y104" s="29" t="s">
        <v>300</v>
      </c>
      <c r="Z104" s="27">
        <f>Tabella1[[#This Row],[Importo stimato lotto  ]]*2/24</f>
        <v>5270.833333333333</v>
      </c>
      <c r="AA104" s="27">
        <f>Tabella1[[#This Row],[Importo stimato lotto  ]]*12/24</f>
        <v>31625</v>
      </c>
      <c r="AB104" s="27">
        <f>Tabella1[[#This Row],[Importo stimato lotto  ]]-Tabella1[[#This Row],[STIMA DEI COSTI DELL''ACQUISTO
Primo anno]]-Tabella1[[#This Row],[STIMA DEI COSTI DELL''ACQUISTO
Secondo anno]]</f>
        <v>26354.166666666664</v>
      </c>
      <c r="AC104" s="27">
        <f>Tabella1[[#This Row],[Importo stimato lotto  ]]*0.1</f>
        <v>6325</v>
      </c>
      <c r="AD104" s="4" t="s">
        <v>36</v>
      </c>
    </row>
    <row r="105" spans="1:30" s="2" customFormat="1" ht="24.95" customHeight="1" x14ac:dyDescent="0.25">
      <c r="A105" s="2" t="s">
        <v>30</v>
      </c>
      <c r="B105" s="3" t="s">
        <v>31</v>
      </c>
      <c r="H105" s="4" t="s">
        <v>32</v>
      </c>
      <c r="I105" s="17">
        <v>632500</v>
      </c>
      <c r="J105" s="4" t="s">
        <v>33</v>
      </c>
      <c r="L105" s="2" t="s">
        <v>208</v>
      </c>
      <c r="M105" s="25" t="s">
        <v>266</v>
      </c>
      <c r="N105" s="18" t="s">
        <v>197</v>
      </c>
      <c r="Q105" s="22" t="s">
        <v>236</v>
      </c>
      <c r="R105" s="22" t="s">
        <v>245</v>
      </c>
      <c r="S105" s="23" t="s">
        <v>38</v>
      </c>
      <c r="V105" s="4">
        <v>36</v>
      </c>
      <c r="W105" s="4" t="s">
        <v>36</v>
      </c>
      <c r="X105" s="2" t="s">
        <v>126</v>
      </c>
      <c r="Y105" s="29" t="s">
        <v>83</v>
      </c>
      <c r="Z105" s="27">
        <f>Tabella1[[#This Row],[Importo stimato lotto  ]]*4/36</f>
        <v>70277.777777777781</v>
      </c>
      <c r="AA105" s="27">
        <f>Tabella1[[#This Row],[Importo stimato lotto  ]]/3</f>
        <v>210833.33333333334</v>
      </c>
      <c r="AB105" s="27">
        <f>Tabella1[[#This Row],[Importo stimato lotto  ]]-Tabella1[[#This Row],[STIMA DEI COSTI DELL''ACQUISTO
Primo anno]]-Tabella1[[#This Row],[STIMA DEI COSTI DELL''ACQUISTO
Secondo anno]]</f>
        <v>351388.88888888888</v>
      </c>
      <c r="AC105" s="27">
        <f>Tabella1[[#This Row],[Importo stimato lotto  ]]*0.1</f>
        <v>63250</v>
      </c>
      <c r="AD105" s="4" t="s">
        <v>36</v>
      </c>
    </row>
    <row r="106" spans="1:30" s="2" customFormat="1" ht="24.95" customHeight="1" x14ac:dyDescent="0.25">
      <c r="A106" s="2" t="s">
        <v>30</v>
      </c>
      <c r="B106" s="3" t="s">
        <v>31</v>
      </c>
      <c r="H106" s="4" t="s">
        <v>32</v>
      </c>
      <c r="I106" s="17">
        <v>138000</v>
      </c>
      <c r="J106" s="4" t="s">
        <v>33</v>
      </c>
      <c r="L106" s="2" t="s">
        <v>208</v>
      </c>
      <c r="M106" s="2" t="s">
        <v>282</v>
      </c>
      <c r="N106" s="18" t="s">
        <v>198</v>
      </c>
      <c r="Q106" s="22" t="s">
        <v>258</v>
      </c>
      <c r="R106" s="22" t="s">
        <v>259</v>
      </c>
      <c r="S106" s="23" t="s">
        <v>261</v>
      </c>
      <c r="V106" s="4">
        <v>9</v>
      </c>
      <c r="W106" s="4" t="s">
        <v>36</v>
      </c>
      <c r="X106" s="2" t="s">
        <v>132</v>
      </c>
      <c r="Y106" s="29" t="s">
        <v>83</v>
      </c>
      <c r="Z106" s="27">
        <f>Tabella1[[#This Row],[Importo stimato lotto  ]]*4/9</f>
        <v>61333.333333333336</v>
      </c>
      <c r="AA106" s="27">
        <f>Tabella1[[#This Row],[Importo stimato lotto  ]]*5/9</f>
        <v>76666.666666666672</v>
      </c>
      <c r="AB106" s="27">
        <f>Tabella1[[#This Row],[Importo stimato lotto  ]]-Tabella1[[#This Row],[STIMA DEI COSTI DELL''ACQUISTO
Primo anno]]-Tabella1[[#This Row],[STIMA DEI COSTI DELL''ACQUISTO
Secondo anno]]</f>
        <v>0</v>
      </c>
      <c r="AC106" s="27">
        <f>Tabella1[[#This Row],[Importo stimato lotto  ]]*0.1</f>
        <v>13800</v>
      </c>
      <c r="AD106" s="4" t="s">
        <v>36</v>
      </c>
    </row>
    <row r="107" spans="1:30" s="2" customFormat="1" ht="24.95" customHeight="1" x14ac:dyDescent="0.25">
      <c r="A107" s="2" t="s">
        <v>30</v>
      </c>
      <c r="B107" s="3" t="s">
        <v>31</v>
      </c>
      <c r="H107" s="4" t="s">
        <v>32</v>
      </c>
      <c r="I107" s="17">
        <v>57500</v>
      </c>
      <c r="J107" s="4" t="s">
        <v>33</v>
      </c>
      <c r="L107" s="2" t="s">
        <v>208</v>
      </c>
      <c r="M107" s="2" t="s">
        <v>275</v>
      </c>
      <c r="N107" s="18" t="s">
        <v>40</v>
      </c>
      <c r="Q107" s="22" t="s">
        <v>236</v>
      </c>
      <c r="R107" s="22" t="s">
        <v>245</v>
      </c>
      <c r="S107" s="23" t="s">
        <v>38</v>
      </c>
      <c r="V107" s="4">
        <v>12</v>
      </c>
      <c r="W107" s="4" t="s">
        <v>36</v>
      </c>
      <c r="X107" s="2" t="s">
        <v>126</v>
      </c>
      <c r="Y107" s="29" t="s">
        <v>86</v>
      </c>
      <c r="Z107" s="27">
        <v>0</v>
      </c>
      <c r="AA107" s="27">
        <f>Tabella1[[#This Row],[Importo stimato lotto  ]]</f>
        <v>57500</v>
      </c>
      <c r="AB107" s="27">
        <f>Tabella1[[#This Row],[Importo stimato lotto  ]]-Tabella1[[#This Row],[STIMA DEI COSTI DELL''ACQUISTO
Primo anno]]-Tabella1[[#This Row],[STIMA DEI COSTI DELL''ACQUISTO
Secondo anno]]</f>
        <v>0</v>
      </c>
      <c r="AC107" s="27">
        <f>Tabella1[[#This Row],[Importo stimato lotto  ]]*0.1</f>
        <v>5750</v>
      </c>
      <c r="AD107" s="4" t="s">
        <v>36</v>
      </c>
    </row>
    <row r="108" spans="1:30" s="2" customFormat="1" ht="24.95" customHeight="1" x14ac:dyDescent="0.25">
      <c r="A108" s="2" t="s">
        <v>30</v>
      </c>
      <c r="B108" s="3" t="s">
        <v>31</v>
      </c>
      <c r="H108" s="4" t="s">
        <v>32</v>
      </c>
      <c r="I108" s="17">
        <v>69000</v>
      </c>
      <c r="J108" s="4" t="s">
        <v>33</v>
      </c>
      <c r="L108" s="2" t="s">
        <v>208</v>
      </c>
      <c r="M108" s="2" t="s">
        <v>39</v>
      </c>
      <c r="N108" s="18" t="s">
        <v>199</v>
      </c>
      <c r="Q108" s="22" t="s">
        <v>236</v>
      </c>
      <c r="R108" s="22" t="s">
        <v>245</v>
      </c>
      <c r="S108" s="23" t="s">
        <v>38</v>
      </c>
      <c r="V108" s="4">
        <v>12</v>
      </c>
      <c r="W108" s="4" t="s">
        <v>36</v>
      </c>
      <c r="X108" s="2" t="s">
        <v>126</v>
      </c>
      <c r="Y108" s="29" t="s">
        <v>86</v>
      </c>
      <c r="Z108" s="27">
        <v>0</v>
      </c>
      <c r="AA108" s="27">
        <f>Tabella1[[#This Row],[Importo stimato lotto  ]]</f>
        <v>69000</v>
      </c>
      <c r="AB108" s="27">
        <f>Tabella1[[#This Row],[Importo stimato lotto  ]]-Tabella1[[#This Row],[STIMA DEI COSTI DELL''ACQUISTO
Primo anno]]-Tabella1[[#This Row],[STIMA DEI COSTI DELL''ACQUISTO
Secondo anno]]</f>
        <v>0</v>
      </c>
      <c r="AC108" s="27">
        <f>Tabella1[[#This Row],[Importo stimato lotto  ]]*0.1</f>
        <v>6900</v>
      </c>
      <c r="AD108" s="4" t="s">
        <v>36</v>
      </c>
    </row>
    <row r="109" spans="1:30" s="2" customFormat="1" ht="24.95" customHeight="1" x14ac:dyDescent="0.25">
      <c r="A109" s="2" t="s">
        <v>30</v>
      </c>
      <c r="B109" s="3" t="s">
        <v>31</v>
      </c>
      <c r="H109" s="4" t="s">
        <v>32</v>
      </c>
      <c r="I109" s="17">
        <v>138000</v>
      </c>
      <c r="J109" s="4" t="s">
        <v>33</v>
      </c>
      <c r="L109" s="2" t="s">
        <v>208</v>
      </c>
      <c r="M109" s="2" t="s">
        <v>277</v>
      </c>
      <c r="N109" s="18" t="s">
        <v>200</v>
      </c>
      <c r="Q109" s="22" t="s">
        <v>236</v>
      </c>
      <c r="R109" s="22" t="s">
        <v>245</v>
      </c>
      <c r="S109" s="23" t="s">
        <v>38</v>
      </c>
      <c r="V109" s="4">
        <v>12</v>
      </c>
      <c r="W109" s="4" t="s">
        <v>36</v>
      </c>
      <c r="X109" s="2" t="s">
        <v>126</v>
      </c>
      <c r="Y109" s="29" t="s">
        <v>86</v>
      </c>
      <c r="Z109" s="27">
        <v>0</v>
      </c>
      <c r="AA109" s="27">
        <f>Tabella1[[#This Row],[Importo stimato lotto  ]]</f>
        <v>138000</v>
      </c>
      <c r="AB109" s="27">
        <f>Tabella1[[#This Row],[Importo stimato lotto  ]]-Tabella1[[#This Row],[STIMA DEI COSTI DELL''ACQUISTO
Primo anno]]-Tabella1[[#This Row],[STIMA DEI COSTI DELL''ACQUISTO
Secondo anno]]</f>
        <v>0</v>
      </c>
      <c r="AC109" s="27">
        <f>Tabella1[[#This Row],[Importo stimato lotto  ]]*0.1</f>
        <v>13800</v>
      </c>
      <c r="AD109" s="4" t="s">
        <v>36</v>
      </c>
    </row>
    <row r="110" spans="1:30" s="2" customFormat="1" ht="60" customHeight="1" x14ac:dyDescent="0.25">
      <c r="A110" s="2" t="s">
        <v>30</v>
      </c>
      <c r="B110" s="3" t="s">
        <v>31</v>
      </c>
      <c r="H110" s="4" t="s">
        <v>32</v>
      </c>
      <c r="I110" s="17">
        <v>517500</v>
      </c>
      <c r="J110" s="4" t="s">
        <v>33</v>
      </c>
      <c r="L110" s="2" t="s">
        <v>208</v>
      </c>
      <c r="M110" s="2" t="s">
        <v>284</v>
      </c>
      <c r="N110" s="18" t="s">
        <v>201</v>
      </c>
      <c r="Q110" s="22"/>
      <c r="R110" s="22"/>
      <c r="S110" s="23"/>
      <c r="V110" s="4"/>
      <c r="W110" s="4" t="s">
        <v>36</v>
      </c>
      <c r="X110" s="2" t="s">
        <v>126</v>
      </c>
      <c r="Y110" s="29" t="s">
        <v>86</v>
      </c>
      <c r="Z110" s="27"/>
      <c r="AA110" s="27"/>
      <c r="AB110" s="27">
        <f>Tabella1[[#This Row],[Importo stimato lotto  ]]-Tabella1[[#This Row],[STIMA DEI COSTI DELL''ACQUISTO
Primo anno]]-Tabella1[[#This Row],[STIMA DEI COSTI DELL''ACQUISTO
Secondo anno]]</f>
        <v>517500</v>
      </c>
      <c r="AC110" s="27">
        <f>Tabella1[[#This Row],[Importo stimato lotto  ]]*0.1</f>
        <v>51750</v>
      </c>
      <c r="AD110" s="4" t="s">
        <v>36</v>
      </c>
    </row>
    <row r="111" spans="1:30" s="2" customFormat="1" ht="24.95" customHeight="1" x14ac:dyDescent="0.25">
      <c r="A111" s="2" t="s">
        <v>30</v>
      </c>
      <c r="B111" s="3" t="s">
        <v>31</v>
      </c>
      <c r="H111" s="4" t="s">
        <v>32</v>
      </c>
      <c r="I111" s="17">
        <v>138000</v>
      </c>
      <c r="J111" s="4" t="s">
        <v>33</v>
      </c>
      <c r="L111" s="2" t="s">
        <v>208</v>
      </c>
      <c r="M111" s="2" t="s">
        <v>62</v>
      </c>
      <c r="N111" s="18" t="s">
        <v>240</v>
      </c>
      <c r="Q111" s="19" t="s">
        <v>99</v>
      </c>
      <c r="R111" s="19" t="s">
        <v>123</v>
      </c>
      <c r="S111" s="23" t="s">
        <v>286</v>
      </c>
      <c r="V111" s="4">
        <v>3</v>
      </c>
      <c r="W111" s="4" t="s">
        <v>36</v>
      </c>
      <c r="X111" s="2" t="s">
        <v>132</v>
      </c>
      <c r="Y111" s="29" t="s">
        <v>92</v>
      </c>
      <c r="Z111" s="27">
        <f>Tabella1[[#This Row],[Importo stimato lotto  ]]*2/3</f>
        <v>92000</v>
      </c>
      <c r="AA111" s="27">
        <f>Tabella1[[#This Row],[Importo stimato lotto  ]]*1/3</f>
        <v>46000</v>
      </c>
      <c r="AB111" s="27">
        <f>Tabella1[[#This Row],[Importo stimato lotto  ]]-Tabella1[[#This Row],[STIMA DEI COSTI DELL''ACQUISTO
Primo anno]]-Tabella1[[#This Row],[STIMA DEI COSTI DELL''ACQUISTO
Secondo anno]]</f>
        <v>0</v>
      </c>
      <c r="AC111" s="27">
        <f>Tabella1[[#This Row],[Importo stimato lotto  ]]*0.1</f>
        <v>13800</v>
      </c>
      <c r="AD111" s="4" t="s">
        <v>36</v>
      </c>
    </row>
    <row r="112" spans="1:30" s="2" customFormat="1" ht="24.95" customHeight="1" x14ac:dyDescent="0.25">
      <c r="A112" s="2" t="s">
        <v>30</v>
      </c>
      <c r="B112" s="3" t="s">
        <v>31</v>
      </c>
      <c r="H112" s="4" t="s">
        <v>32</v>
      </c>
      <c r="I112" s="17">
        <v>184000</v>
      </c>
      <c r="J112" s="4" t="s">
        <v>33</v>
      </c>
      <c r="L112" s="2" t="s">
        <v>208</v>
      </c>
      <c r="M112" s="2" t="s">
        <v>62</v>
      </c>
      <c r="N112" s="18" t="s">
        <v>241</v>
      </c>
      <c r="Q112" s="19" t="s">
        <v>99</v>
      </c>
      <c r="R112" s="19" t="s">
        <v>123</v>
      </c>
      <c r="S112" s="23" t="s">
        <v>286</v>
      </c>
      <c r="V112" s="4">
        <v>2</v>
      </c>
      <c r="W112" s="4" t="s">
        <v>36</v>
      </c>
      <c r="X112" s="2" t="s">
        <v>132</v>
      </c>
      <c r="Y112" s="29" t="s">
        <v>92</v>
      </c>
      <c r="Z112" s="27">
        <f>Tabella1[[#This Row],[Importo stimato lotto  ]]</f>
        <v>184000</v>
      </c>
      <c r="AA112" s="27">
        <v>0</v>
      </c>
      <c r="AB112" s="27">
        <f>Tabella1[[#This Row],[Importo stimato lotto  ]]-Tabella1[[#This Row],[STIMA DEI COSTI DELL''ACQUISTO
Primo anno]]-Tabella1[[#This Row],[STIMA DEI COSTI DELL''ACQUISTO
Secondo anno]]</f>
        <v>0</v>
      </c>
      <c r="AC112" s="27">
        <f>Tabella1[[#This Row],[Importo stimato lotto  ]]*0.1</f>
        <v>18400</v>
      </c>
      <c r="AD112" s="4" t="s">
        <v>36</v>
      </c>
    </row>
    <row r="113" spans="1:30" s="2" customFormat="1" ht="60" customHeight="1" x14ac:dyDescent="0.25">
      <c r="A113" s="2" t="s">
        <v>30</v>
      </c>
      <c r="B113" s="3" t="s">
        <v>31</v>
      </c>
      <c r="H113" s="4" t="s">
        <v>32</v>
      </c>
      <c r="I113" s="17">
        <v>299000</v>
      </c>
      <c r="J113" s="4" t="s">
        <v>33</v>
      </c>
      <c r="L113" s="2" t="s">
        <v>208</v>
      </c>
      <c r="M113" s="2" t="s">
        <v>62</v>
      </c>
      <c r="N113" s="18" t="s">
        <v>242</v>
      </c>
      <c r="Q113" s="19" t="s">
        <v>288</v>
      </c>
      <c r="R113" s="19" t="s">
        <v>289</v>
      </c>
      <c r="S113" s="23" t="s">
        <v>287</v>
      </c>
      <c r="V113" s="4">
        <v>3</v>
      </c>
      <c r="W113" s="4" t="s">
        <v>36</v>
      </c>
      <c r="X113" s="2" t="s">
        <v>132</v>
      </c>
      <c r="Y113" s="29" t="s">
        <v>92</v>
      </c>
      <c r="Z113" s="27">
        <f>Tabella1[[#This Row],[Importo stimato lotto  ]]*2/3</f>
        <v>199333.33333333334</v>
      </c>
      <c r="AA113" s="27">
        <f>Tabella1[[#This Row],[Importo stimato lotto  ]]*1/3</f>
        <v>99666.666666666672</v>
      </c>
      <c r="AB113" s="27">
        <f>Tabella1[[#This Row],[Importo stimato lotto  ]]-Tabella1[[#This Row],[STIMA DEI COSTI DELL''ACQUISTO
Primo anno]]-Tabella1[[#This Row],[STIMA DEI COSTI DELL''ACQUISTO
Secondo anno]]</f>
        <v>0</v>
      </c>
      <c r="AC113" s="27">
        <f>Tabella1[[#This Row],[Importo stimato lotto  ]]*0.1</f>
        <v>29900</v>
      </c>
      <c r="AD113" s="4" t="s">
        <v>36</v>
      </c>
    </row>
    <row r="114" spans="1:30" s="2" customFormat="1" ht="24.95" customHeight="1" x14ac:dyDescent="0.25">
      <c r="A114" s="2" t="s">
        <v>30</v>
      </c>
      <c r="B114" s="3" t="s">
        <v>31</v>
      </c>
      <c r="H114" s="4" t="s">
        <v>32</v>
      </c>
      <c r="I114" s="17">
        <v>2357500</v>
      </c>
      <c r="J114" s="4" t="s">
        <v>33</v>
      </c>
      <c r="L114" s="2" t="s">
        <v>208</v>
      </c>
      <c r="M114" s="2" t="s">
        <v>281</v>
      </c>
      <c r="N114" s="18" t="s">
        <v>202</v>
      </c>
      <c r="Q114" s="19"/>
      <c r="R114" s="19"/>
      <c r="S114" s="23"/>
      <c r="V114" s="4">
        <v>36</v>
      </c>
      <c r="W114" s="4" t="s">
        <v>36</v>
      </c>
      <c r="X114" s="2" t="s">
        <v>132</v>
      </c>
      <c r="Y114" s="29" t="s">
        <v>304</v>
      </c>
      <c r="Z114" s="27">
        <v>0</v>
      </c>
      <c r="AA114" s="27">
        <f>Tabella1[[#This Row],[Importo stimato lotto  ]]/3</f>
        <v>785833.33333333337</v>
      </c>
      <c r="AB114" s="27">
        <f>Tabella1[[#This Row],[Importo stimato lotto  ]]-Tabella1[[#This Row],[STIMA DEI COSTI DELL''ACQUISTO
Primo anno]]-Tabella1[[#This Row],[STIMA DEI COSTI DELL''ACQUISTO
Secondo anno]]</f>
        <v>1571666.6666666665</v>
      </c>
      <c r="AC114" s="27">
        <f>Tabella1[[#This Row],[Importo stimato lotto  ]]*0.1</f>
        <v>235750</v>
      </c>
      <c r="AD114" s="4" t="s">
        <v>36</v>
      </c>
    </row>
    <row r="115" spans="1:30" s="2" customFormat="1" ht="24.95" customHeight="1" x14ac:dyDescent="0.25">
      <c r="A115" s="2" t="s">
        <v>30</v>
      </c>
      <c r="B115" s="3" t="s">
        <v>31</v>
      </c>
      <c r="H115" s="4" t="s">
        <v>32</v>
      </c>
      <c r="I115" s="17">
        <v>11500000</v>
      </c>
      <c r="J115" s="4" t="s">
        <v>33</v>
      </c>
      <c r="L115" s="2" t="s">
        <v>208</v>
      </c>
      <c r="M115" s="2" t="s">
        <v>283</v>
      </c>
      <c r="N115" s="18" t="s">
        <v>203</v>
      </c>
      <c r="Q115" s="19"/>
      <c r="R115" s="19"/>
      <c r="S115" s="23"/>
      <c r="V115" s="4">
        <v>36</v>
      </c>
      <c r="W115" s="4" t="s">
        <v>36</v>
      </c>
      <c r="X115" s="2" t="s">
        <v>132</v>
      </c>
      <c r="Y115" s="29" t="s">
        <v>86</v>
      </c>
      <c r="Z115" s="27">
        <v>0</v>
      </c>
      <c r="AA115" s="27">
        <f>Tabella1[[#This Row],[Importo stimato lotto  ]]/3</f>
        <v>3833333.3333333335</v>
      </c>
      <c r="AB115" s="27">
        <f>Tabella1[[#This Row],[Importo stimato lotto  ]]-Tabella1[[#This Row],[STIMA DEI COSTI DELL''ACQUISTO
Primo anno]]-Tabella1[[#This Row],[STIMA DEI COSTI DELL''ACQUISTO
Secondo anno]]</f>
        <v>7666666.666666666</v>
      </c>
      <c r="AC115" s="27">
        <f>Tabella1[[#This Row],[Importo stimato lotto  ]]*0.1</f>
        <v>1150000</v>
      </c>
      <c r="AD115" s="4" t="s">
        <v>36</v>
      </c>
    </row>
    <row r="116" spans="1:30" s="2" customFormat="1" ht="24.95" customHeight="1" x14ac:dyDescent="0.25">
      <c r="A116" s="2" t="s">
        <v>30</v>
      </c>
      <c r="B116" s="3" t="s">
        <v>31</v>
      </c>
      <c r="H116" s="4" t="s">
        <v>32</v>
      </c>
      <c r="I116" s="17">
        <v>4600000</v>
      </c>
      <c r="J116" s="4" t="s">
        <v>33</v>
      </c>
      <c r="L116" s="2" t="s">
        <v>208</v>
      </c>
      <c r="M116" s="2" t="s">
        <v>283</v>
      </c>
      <c r="N116" s="18" t="s">
        <v>204</v>
      </c>
      <c r="Q116" s="19"/>
      <c r="R116" s="19"/>
      <c r="S116" s="23"/>
      <c r="V116" s="4">
        <v>36</v>
      </c>
      <c r="W116" s="4" t="s">
        <v>36</v>
      </c>
      <c r="X116" s="2" t="s">
        <v>132</v>
      </c>
      <c r="Y116" s="29" t="s">
        <v>305</v>
      </c>
      <c r="Z116" s="27">
        <v>0</v>
      </c>
      <c r="AA116" s="27">
        <f>Tabella1[[#This Row],[Importo stimato lotto  ]]/3</f>
        <v>1533333.3333333333</v>
      </c>
      <c r="AB116" s="27">
        <f>Tabella1[[#This Row],[Importo stimato lotto  ]]-Tabella1[[#This Row],[STIMA DEI COSTI DELL''ACQUISTO
Primo anno]]-Tabella1[[#This Row],[STIMA DEI COSTI DELL''ACQUISTO
Secondo anno]]</f>
        <v>3066666.666666667</v>
      </c>
      <c r="AC116" s="27">
        <f>Tabella1[[#This Row],[Importo stimato lotto  ]]*0.1</f>
        <v>460000</v>
      </c>
      <c r="AD116" s="4" t="s">
        <v>36</v>
      </c>
    </row>
    <row r="117" spans="1:30" s="2" customFormat="1" ht="24.95" customHeight="1" x14ac:dyDescent="0.25">
      <c r="A117" s="2" t="s">
        <v>30</v>
      </c>
      <c r="B117" s="3" t="s">
        <v>31</v>
      </c>
      <c r="H117" s="4" t="s">
        <v>32</v>
      </c>
      <c r="I117" s="17">
        <v>2300000</v>
      </c>
      <c r="J117" s="4" t="s">
        <v>33</v>
      </c>
      <c r="L117" s="2" t="s">
        <v>208</v>
      </c>
      <c r="M117" s="2" t="s">
        <v>283</v>
      </c>
      <c r="N117" s="18" t="s">
        <v>205</v>
      </c>
      <c r="Q117" s="19"/>
      <c r="R117" s="19"/>
      <c r="S117" s="23"/>
      <c r="V117" s="4">
        <v>36</v>
      </c>
      <c r="W117" s="4" t="s">
        <v>36</v>
      </c>
      <c r="X117" s="2" t="s">
        <v>132</v>
      </c>
      <c r="Y117" s="29" t="s">
        <v>305</v>
      </c>
      <c r="Z117" s="27">
        <v>0</v>
      </c>
      <c r="AA117" s="27">
        <f>Tabella1[[#This Row],[Importo stimato lotto  ]]/3</f>
        <v>766666.66666666663</v>
      </c>
      <c r="AB117" s="27">
        <f>Tabella1[[#This Row],[Importo stimato lotto  ]]-Tabella1[[#This Row],[STIMA DEI COSTI DELL''ACQUISTO
Primo anno]]-Tabella1[[#This Row],[STIMA DEI COSTI DELL''ACQUISTO
Secondo anno]]</f>
        <v>1533333.3333333335</v>
      </c>
      <c r="AC117" s="27">
        <f>Tabella1[[#This Row],[Importo stimato lotto  ]]*0.1</f>
        <v>230000</v>
      </c>
      <c r="AD117" s="4" t="s">
        <v>36</v>
      </c>
    </row>
    <row r="118" spans="1:30" s="2" customFormat="1" ht="24.95" customHeight="1" x14ac:dyDescent="0.25">
      <c r="A118" s="2" t="s">
        <v>30</v>
      </c>
      <c r="B118" s="3" t="s">
        <v>31</v>
      </c>
      <c r="H118" s="4" t="s">
        <v>32</v>
      </c>
      <c r="I118" s="17">
        <v>92000</v>
      </c>
      <c r="J118" s="4" t="s">
        <v>33</v>
      </c>
      <c r="L118" s="2" t="s">
        <v>208</v>
      </c>
      <c r="M118" s="2" t="s">
        <v>276</v>
      </c>
      <c r="N118" s="18" t="s">
        <v>206</v>
      </c>
      <c r="Q118" s="19" t="s">
        <v>99</v>
      </c>
      <c r="R118" s="19" t="s">
        <v>123</v>
      </c>
      <c r="S118" s="23" t="s">
        <v>286</v>
      </c>
      <c r="V118" s="4">
        <v>3</v>
      </c>
      <c r="W118" s="4" t="s">
        <v>36</v>
      </c>
      <c r="X118" s="2" t="s">
        <v>132</v>
      </c>
      <c r="Y118" s="29" t="s">
        <v>302</v>
      </c>
      <c r="Z118" s="27">
        <f>Tabella1[[#This Row],[Importo stimato lotto  ]]</f>
        <v>92000</v>
      </c>
      <c r="AA118" s="27">
        <v>0</v>
      </c>
      <c r="AB118" s="27">
        <f>Tabella1[[#This Row],[Importo stimato lotto  ]]-Tabella1[[#This Row],[STIMA DEI COSTI DELL''ACQUISTO
Primo anno]]-Tabella1[[#This Row],[STIMA DEI COSTI DELL''ACQUISTO
Secondo anno]]</f>
        <v>0</v>
      </c>
      <c r="AC118" s="27">
        <f>Tabella1[[#This Row],[Importo stimato lotto  ]]*0.1</f>
        <v>9200</v>
      </c>
      <c r="AD118" s="4" t="s">
        <v>36</v>
      </c>
    </row>
    <row r="119" spans="1:30" s="2" customFormat="1" ht="24.95" customHeight="1" x14ac:dyDescent="0.25">
      <c r="A119" s="2" t="s">
        <v>30</v>
      </c>
      <c r="B119" s="3" t="s">
        <v>31</v>
      </c>
      <c r="H119" s="4" t="s">
        <v>32</v>
      </c>
      <c r="I119" s="17">
        <v>172500</v>
      </c>
      <c r="J119" s="4" t="s">
        <v>33</v>
      </c>
      <c r="L119" s="2" t="s">
        <v>208</v>
      </c>
      <c r="M119" s="2" t="s">
        <v>272</v>
      </c>
      <c r="N119" s="18" t="s">
        <v>237</v>
      </c>
      <c r="Q119" s="19" t="s">
        <v>99</v>
      </c>
      <c r="R119" s="19" t="s">
        <v>123</v>
      </c>
      <c r="S119" s="23" t="s">
        <v>286</v>
      </c>
      <c r="V119" s="4">
        <v>2</v>
      </c>
      <c r="W119" s="4" t="s">
        <v>36</v>
      </c>
      <c r="X119" s="2" t="s">
        <v>132</v>
      </c>
      <c r="Y119" s="29" t="s">
        <v>302</v>
      </c>
      <c r="Z119" s="27">
        <f>Tabella1[[#This Row],[Importo stimato lotto  ]]</f>
        <v>172500</v>
      </c>
      <c r="AA119" s="27">
        <v>0</v>
      </c>
      <c r="AB119" s="27">
        <f>Tabella1[[#This Row],[Importo stimato lotto  ]]-Tabella1[[#This Row],[STIMA DEI COSTI DELL''ACQUISTO
Primo anno]]-Tabella1[[#This Row],[STIMA DEI COSTI DELL''ACQUISTO
Secondo anno]]</f>
        <v>0</v>
      </c>
      <c r="AC119" s="27">
        <f>Tabella1[[#This Row],[Importo stimato lotto  ]]*0.1</f>
        <v>17250</v>
      </c>
      <c r="AD119" s="4" t="s">
        <v>36</v>
      </c>
    </row>
    <row r="120" spans="1:30" s="2" customFormat="1" ht="24.95" customHeight="1" x14ac:dyDescent="0.25">
      <c r="A120" s="2" t="s">
        <v>30</v>
      </c>
      <c r="B120" s="3" t="s">
        <v>31</v>
      </c>
      <c r="H120" s="4" t="s">
        <v>32</v>
      </c>
      <c r="I120" s="17">
        <v>80500</v>
      </c>
      <c r="J120" s="4" t="s">
        <v>33</v>
      </c>
      <c r="L120" s="2" t="s">
        <v>208</v>
      </c>
      <c r="M120" s="2" t="s">
        <v>272</v>
      </c>
      <c r="N120" s="18" t="s">
        <v>238</v>
      </c>
      <c r="Q120" s="19" t="s">
        <v>99</v>
      </c>
      <c r="R120" s="19" t="s">
        <v>123</v>
      </c>
      <c r="S120" s="23" t="s">
        <v>286</v>
      </c>
      <c r="V120" s="4">
        <v>2</v>
      </c>
      <c r="W120" s="4" t="s">
        <v>36</v>
      </c>
      <c r="X120" s="2" t="s">
        <v>132</v>
      </c>
      <c r="Y120" s="29" t="s">
        <v>302</v>
      </c>
      <c r="Z120" s="27">
        <f>Tabella1[[#This Row],[Importo stimato lotto  ]]</f>
        <v>80500</v>
      </c>
      <c r="AA120" s="27">
        <v>0</v>
      </c>
      <c r="AB120" s="27">
        <f>Tabella1[[#This Row],[Importo stimato lotto  ]]-Tabella1[[#This Row],[STIMA DEI COSTI DELL''ACQUISTO
Primo anno]]-Tabella1[[#This Row],[STIMA DEI COSTI DELL''ACQUISTO
Secondo anno]]</f>
        <v>0</v>
      </c>
      <c r="AC120" s="27">
        <f>Tabella1[[#This Row],[Importo stimato lotto  ]]*0.1</f>
        <v>8050</v>
      </c>
      <c r="AD120" s="4" t="s">
        <v>36</v>
      </c>
    </row>
    <row r="121" spans="1:30" s="2" customFormat="1" ht="24.95" customHeight="1" x14ac:dyDescent="0.25">
      <c r="A121" s="2" t="s">
        <v>30</v>
      </c>
      <c r="B121" s="3" t="s">
        <v>31</v>
      </c>
      <c r="H121" s="4" t="s">
        <v>32</v>
      </c>
      <c r="I121" s="17">
        <v>172500</v>
      </c>
      <c r="J121" s="4" t="s">
        <v>33</v>
      </c>
      <c r="L121" s="2" t="s">
        <v>208</v>
      </c>
      <c r="M121" s="2" t="s">
        <v>272</v>
      </c>
      <c r="N121" s="18" t="s">
        <v>239</v>
      </c>
      <c r="Q121" s="19" t="s">
        <v>288</v>
      </c>
      <c r="R121" s="19" t="s">
        <v>289</v>
      </c>
      <c r="S121" s="23" t="s">
        <v>287</v>
      </c>
      <c r="T121" s="4">
        <v>3</v>
      </c>
      <c r="V121" s="4">
        <v>3</v>
      </c>
      <c r="W121" s="4" t="s">
        <v>36</v>
      </c>
      <c r="X121" s="2" t="s">
        <v>132</v>
      </c>
      <c r="Y121" s="29" t="s">
        <v>302</v>
      </c>
      <c r="Z121" s="27">
        <f>Tabella1[[#This Row],[Importo stimato lotto  ]]</f>
        <v>172500</v>
      </c>
      <c r="AA121" s="27">
        <v>0</v>
      </c>
      <c r="AB121" s="27">
        <f>Tabella1[[#This Row],[Importo stimato lotto  ]]-Tabella1[[#This Row],[STIMA DEI COSTI DELL''ACQUISTO
Primo anno]]-Tabella1[[#This Row],[STIMA DEI COSTI DELL''ACQUISTO
Secondo anno]]</f>
        <v>0</v>
      </c>
      <c r="AC121" s="27">
        <f>Tabella1[[#This Row],[Importo stimato lotto  ]]*0.1</f>
        <v>17250</v>
      </c>
      <c r="AD121" s="4" t="s">
        <v>36</v>
      </c>
    </row>
    <row r="122" spans="1:30" s="2" customFormat="1" ht="24.95" customHeight="1" x14ac:dyDescent="0.25">
      <c r="A122" s="2" t="s">
        <v>30</v>
      </c>
      <c r="B122" s="3" t="s">
        <v>31</v>
      </c>
      <c r="H122" s="4" t="s">
        <v>32</v>
      </c>
      <c r="I122" s="17">
        <v>402500</v>
      </c>
      <c r="J122" s="4" t="s">
        <v>33</v>
      </c>
      <c r="L122" s="2" t="s">
        <v>208</v>
      </c>
      <c r="M122" s="2" t="s">
        <v>281</v>
      </c>
      <c r="N122" s="18" t="s">
        <v>207</v>
      </c>
      <c r="Q122" s="19"/>
      <c r="R122" s="19"/>
      <c r="V122" s="4"/>
      <c r="W122" s="4" t="s">
        <v>36</v>
      </c>
      <c r="X122" s="2" t="s">
        <v>132</v>
      </c>
      <c r="Y122" s="29" t="s">
        <v>72</v>
      </c>
      <c r="Z122" s="27"/>
      <c r="AA122" s="27"/>
      <c r="AB122" s="27">
        <f>Tabella1[[#This Row],[Importo stimato lotto  ]]-Tabella1[[#This Row],[STIMA DEI COSTI DELL''ACQUISTO
Primo anno]]-Tabella1[[#This Row],[STIMA DEI COSTI DELL''ACQUISTO
Secondo anno]]</f>
        <v>402500</v>
      </c>
      <c r="AC122" s="27">
        <f>Tabella1[[#This Row],[Importo stimato lotto  ]]*0.1</f>
        <v>40250</v>
      </c>
      <c r="AD122" s="4" t="s">
        <v>36</v>
      </c>
    </row>
  </sheetData>
  <pageMargins left="0.7" right="0.7" top="0.75" bottom="0.75" header="0.3" footer="0.3"/>
  <pageSetup paperSize="9" orientation="portrait" r:id="rId1"/>
  <ignoredErrors>
    <ignoredError sqref="AC2 Z3 AA3:AC3 AA4:AC4 Z5:AC13 Z4 Z31 Z14:AC30 Z32:AC50 AA31:AC31 Z51:AC122" calculatedColumn="1"/>
    <ignoredError sqref="B2:B122" numberStoredAsText="1"/>
  </ignoredErrors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2022</vt:lpstr>
      <vt:lpstr>Foglio3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Benedetta</dc:creator>
  <cp:lastModifiedBy>D'amoja Simona</cp:lastModifiedBy>
  <dcterms:created xsi:type="dcterms:W3CDTF">2020-01-20T10:22:47Z</dcterms:created>
  <dcterms:modified xsi:type="dcterms:W3CDTF">2021-12-23T10:12:15Z</dcterms:modified>
</cp:coreProperties>
</file>